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7pPyxESK3LK6xozCKGpzMCYl7nbem4PdcKJA/WTETV7p4zCBpkI3BeMngak0nCOKle1W9HTwApIqnq3aljyScA==" workbookSaltValue="UoEIQfV2SWD7s4etXq8y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Z32" i="20"/>
  <c r="AJ32" i="20"/>
  <c r="G30" i="14"/>
  <c r="G23" i="14"/>
  <c r="U18" i="11"/>
  <c r="AX32" i="20"/>
  <c r="Y32" i="20"/>
  <c r="L32" i="20"/>
  <c r="AG32" i="20"/>
  <c r="H32" i="20"/>
  <c r="T32" i="21"/>
  <c r="F32" i="20"/>
  <c r="AF32" i="20"/>
  <c r="G26" i="14"/>
  <c r="S32" i="20"/>
  <c r="K32" i="20"/>
  <c r="AQ32" i="21"/>
  <c r="O17" i="11"/>
  <c r="AE32" i="20"/>
  <c r="U12" i="11"/>
  <c r="AU32" i="20"/>
  <c r="G14" i="14"/>
  <c r="O18" i="11"/>
  <c r="R32" i="20"/>
  <c r="W32" i="20"/>
  <c r="M23" i="2" l="1"/>
  <c r="AL21" i="11"/>
  <c r="L17" i="14"/>
  <c r="R8" i="9"/>
  <c r="T17" i="11"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9" i="12" l="1"/>
  <c r="K17" i="12"/>
  <c r="AP14" i="20"/>
  <c r="V10" i="21"/>
  <c r="AO18" i="17"/>
  <c r="AO9" i="17"/>
  <c r="AO13" i="17"/>
  <c r="X14" i="17"/>
  <c r="AO10" i="17"/>
  <c r="AO30" i="17"/>
  <c r="V16" i="20"/>
  <c r="V23" i="20" s="1"/>
  <c r="V26" i="20" s="1"/>
  <c r="AA12" i="21"/>
  <c r="T18" i="20"/>
  <c r="AA18" i="16"/>
  <c r="AA17" i="16"/>
  <c r="T18" i="11"/>
  <c r="T11" i="11"/>
  <c r="T13" i="11"/>
  <c r="R12" i="14"/>
  <c r="S19" i="14"/>
  <c r="V19" i="14" s="1"/>
  <c r="X12" i="16"/>
  <c r="L21" i="2"/>
  <c r="AZ28" i="11"/>
  <c r="V21" i="16"/>
  <c r="AA9" i="16"/>
  <c r="X21"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P13" i="11" s="1"/>
  <c r="BL25" i="11"/>
  <c r="Q25" i="11" s="1"/>
  <c r="BH18" i="11"/>
  <c r="BG19" i="11"/>
  <c r="BM16" i="11"/>
  <c r="AZ9" i="11"/>
  <c r="AO28" i="17"/>
  <c r="BL29" i="11"/>
  <c r="P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AQ14" i="21"/>
  <c r="AM22" i="11"/>
  <c r="AM13" i="11"/>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V14"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BH23" i="11"/>
  <c r="BK23" i="11"/>
  <c r="E31" i="2"/>
  <c r="P12" i="11"/>
  <c r="P18" i="11"/>
  <c r="Q16" i="11"/>
  <c r="Q20" i="11"/>
  <c r="S23" i="16"/>
  <c r="S31" i="16" s="1"/>
  <c r="BU33" i="17"/>
  <c r="P21" i="11"/>
  <c r="T23" i="16"/>
  <c r="T31" i="16" s="1"/>
  <c r="Q17" i="11"/>
  <c r="BK14" i="11"/>
  <c r="R14" i="21"/>
  <c r="R31" i="21" s="1"/>
  <c r="AZ31" i="11"/>
  <c r="AZ14" i="11"/>
  <c r="BJ23" i="11"/>
  <c r="BL23" i="11"/>
  <c r="P16" i="11"/>
  <c r="BF23" i="11"/>
  <c r="P20" i="11"/>
  <c r="P23" i="17"/>
  <c r="P31" i="17"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U32" i="17"/>
  <c r="AS32" i="16"/>
  <c r="Z32" i="16"/>
  <c r="AN32" i="17"/>
  <c r="BC32" i="21"/>
  <c r="O32" i="17"/>
  <c r="V32" i="11"/>
  <c r="P32" i="11"/>
  <c r="S32" i="16"/>
  <c r="H32" i="16"/>
  <c r="AA32" i="11"/>
  <c r="AC32" i="11"/>
  <c r="AO32" i="21"/>
  <c r="AM32" i="17"/>
  <c r="N32" i="21"/>
  <c r="S32" i="21"/>
  <c r="AF32" i="17"/>
  <c r="AY32" i="16"/>
  <c r="BF32" i="16"/>
  <c r="AS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W32" i="21"/>
  <c r="AZ32" i="16"/>
  <c r="Q32" i="16"/>
  <c r="M32" i="17"/>
  <c r="L32" i="16"/>
  <c r="V32" i="17"/>
  <c r="BS32" i="16"/>
  <c r="AU32" i="16"/>
  <c r="AA32" i="17"/>
  <c r="L32" i="11"/>
  <c r="H32" i="12"/>
  <c r="AB32" i="21"/>
  <c r="X32" i="17"/>
  <c r="BD32" i="21"/>
  <c r="AS32" i="21"/>
  <c r="AR32" i="17"/>
  <c r="X32" i="21"/>
  <c r="Y32" i="11"/>
  <c r="AB32" i="16"/>
  <c r="AG32" i="11"/>
  <c r="AE32" i="21"/>
  <c r="AD32" i="21"/>
  <c r="K32" i="21"/>
  <c r="AW32" i="17"/>
  <c r="L32" i="21"/>
  <c r="AF32" i="11"/>
  <c r="AK32" i="16"/>
  <c r="AL32" i="17"/>
  <c r="I32" i="21"/>
  <c r="U32" i="11"/>
  <c r="AL32" i="11"/>
  <c r="X32" i="16"/>
  <c r="AY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<sst xmlns="http://schemas.openxmlformats.org/spreadsheetml/2006/main" count="2682" uniqueCount="1193">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</sst>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3ZGl2hSk6B5znixC2B+Oe3a/L4zvd5ibY9oZ2uZNAJ1Vi1S0kTOmUmYjayEf1IA86lZ7r/CMOlRxVMWJPuoA==" saltValue="zZ+SZG2OKTNo2fS+TUmo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29.90625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107</v>
      </c>
      <c r="D10" s="239">
        <f>IF(ISNUMBER(Datos!I10),Datos!I10," - ")</f>
        <v>107</v>
      </c>
      <c r="E10" s="240">
        <f>IF(ISNUMBER(Datos!J10),Datos!J10," - ")</f>
        <v>35</v>
      </c>
      <c r="F10" s="240">
        <f>IF(ISNUMBER(Datos!K10),Datos!K10," - ")</f>
        <v>27</v>
      </c>
      <c r="G10" s="1390" t="str">
        <f>IF(Datos!E10&lt;&gt;"",Datos!E10,Datos!D10)</f>
        <v>37</v>
      </c>
      <c r="H10" s="241">
        <f>IF(ISNUMBER(Datos!L10),Datos!L10," - ")</f>
        <v>115</v>
      </c>
      <c r="I10" s="1400" t="str">
        <f>IF(ISNUMBER(Datos!AS10/Datos!BM10),Datos!AS10/Datos!BM10," - ")</f>
        <v xml:space="preserve"> - </v>
      </c>
      <c r="J10" s="1401">
        <f>IF(ISNUMBER(Datos!BY10/Datos!CN10),Datos!BY10/Datos!CN10," - ")</f>
        <v>0</v>
      </c>
      <c r="K10" s="244">
        <f t="shared" ref="K10:K13" si="1">IF(ISNUMBER((E10-F10)/C10),(E10-F10)/C10," - ")</f>
        <v>7.476635514018691E-2</v>
      </c>
      <c r="L10" s="1402">
        <f>IF(ISNUMBER(NºAsuntos!I10/NºAsuntos!G10),(NºAsuntos!I10/NºAsuntos!G10)*11," - ")</f>
        <v>46.851851851851855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107</v>
      </c>
      <c r="D14" s="1407">
        <f>SUBTOTAL(9,D9:D13)</f>
        <v>107</v>
      </c>
      <c r="E14" s="1408">
        <f>SUBTOTAL(9,E9:E13)</f>
        <v>35</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4387</v>
      </c>
      <c r="D16" s="239">
        <f>IF(ISNUMBER(IF(D_I="SI",Datos!I16,Datos!I16+Datos!AC16)),IF(D_I="SI",Datos!I16,Datos!I16+Datos!AC16)," - ")</f>
        <v>4591</v>
      </c>
      <c r="E16" s="240">
        <f>IF(ISNUMBER(IF(D_I="SI",Datos!J16,Datos!J16+Datos!AD16)),IF(D_I="SI",Datos!J16,Datos!J16+Datos!AD16)," - ")</f>
        <v>2601</v>
      </c>
      <c r="F16" s="240">
        <f>IF(ISNUMBER(IF(D_I="SI",Datos!K16,Datos!K16+Datos!AE16)),IF(D_I="SI",Datos!K16,Datos!K16+Datos!AE16)," - ")</f>
        <v>2835</v>
      </c>
      <c r="G16" s="1390" t="str">
        <f>IF(Datos!E16&lt;&gt;"",Datos!E16,Datos!D16)</f>
        <v>03</v>
      </c>
      <c r="H16" s="241">
        <f>IF(ISNUMBER(IF(D_I="SI",Datos!L16,Datos!L16+Datos!AF16)),IF(D_I="SI",Datos!L16,Datos!L16+Datos!AF16)," - ")</f>
        <v>4153</v>
      </c>
      <c r="I16" s="1400" t="str">
        <f>IF(ISNUMBER(Datos!AS16/Datos!BM16),Datos!AS16/Datos!BM16," - ")</f>
        <v xml:space="preserve"> - </v>
      </c>
      <c r="J16" s="1401">
        <f>IF(ISNUMBER(Datos!BY16/Datos!CN16),Datos!BY16/Datos!CN16," - ")</f>
        <v>0</v>
      </c>
      <c r="K16" s="244">
        <f t="shared" ref="K16:K22" si="3">IF(ISNUMBER((E16-F16)/C16),(E16-F16)/C16," - ")</f>
        <v>-5.3339411898791884E-2</v>
      </c>
      <c r="L16" s="1402">
        <f>IF(ISNUMBER(NºAsuntos!I16/NºAsuntos!G16),(NºAsuntos!I16/NºAsuntos!G16)*11," - ")</f>
        <v>16.113932980599646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289</v>
      </c>
      <c r="D18" s="239">
        <f>IF(ISNUMBER(IF(D_I="SI",Datos!I18,Datos!I18+Datos!AC18)),IF(D_I="SI",Datos!I18,Datos!I18+Datos!AC18)," - ")</f>
        <v>289</v>
      </c>
      <c r="E18" s="240">
        <f>IF(ISNUMBER(IF(D_I="SI",Datos!J18,Datos!J18+Datos!AD18)),IF(D_I="SI",Datos!J18,Datos!J18+Datos!AD18)," - ")</f>
        <v>306</v>
      </c>
      <c r="F18" s="240">
        <f>IF(ISNUMBER(IF(D_I="SI",Datos!K18,Datos!K18+Datos!AE18)),IF(D_I="SI",Datos!K18,Datos!K18+Datos!AE18)," - ")</f>
        <v>284</v>
      </c>
      <c r="G18" s="1390" t="str">
        <f>IF(Datos!E18&lt;&gt;"",Datos!E18,Datos!D18)</f>
        <v>37</v>
      </c>
      <c r="H18" s="241">
        <f>IF(ISNUMBER(IF(D_I="SI",Datos!L18,Datos!L18+Datos!AF18)),IF(D_I="SI",Datos!L18,Datos!L18+Datos!AF18)," - ")</f>
        <v>311</v>
      </c>
      <c r="I18" s="1400" t="str">
        <f>IF(ISNUMBER(Datos!AS18/Datos!BM18),Datos!AS18/Datos!BM18," - ")</f>
        <v xml:space="preserve"> - </v>
      </c>
      <c r="J18" s="1401" t="str">
        <f>IF(ISNUMBER((Datos!BY18+Datos!BZ18)/Datos!CN18),(Datos!BY18+Datos!BZ18)/Datos!CN18," - ")</f>
        <v xml:space="preserve"> - </v>
      </c>
      <c r="K18" s="244">
        <f t="shared" si="3"/>
        <v>7.6124567474048443E-2</v>
      </c>
      <c r="L18" s="1402">
        <f>IF(ISNUMBER(NºAsuntos!I18/NºAsuntos!G18),(NºAsuntos!I18/NºAsuntos!G18)*11," - ")</f>
        <v>12.045774647887324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4676</v>
      </c>
      <c r="D23" s="1407">
        <f>SUBTOTAL(9,D16:D22)</f>
        <v>4880</v>
      </c>
      <c r="E23" s="1408">
        <f>SUBTOTAL(9,E16:E22)</f>
        <v>2907</v>
      </c>
      <c r="F23" s="1408">
        <f>SUBTOTAL(9,F16:F22)</f>
        <v>3119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4783</v>
      </c>
      <c r="D31" s="1435">
        <f>SUBTOTAL(9,D9:D30)</f>
        <v>4987</v>
      </c>
      <c r="E31" s="1436">
        <f>SUBTOTAL(9,E9:E30)</f>
        <v>2942</v>
      </c>
      <c r="F31" s="1436">
        <f>SUBTOTAL(9,F9:F30)</f>
        <v>3146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f2BANs6ng6mFTBQP7vnPyHcv1v0pIACbN0Qd++r7GBdPPTAi0J6WsVU+F5cxRtEfxFBs41/JDPXxo/ZTGQ5rA==" saltValue="sl4ify95ugfA97YTfmj2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P4Y3LytsEhN/Y/xGQnjJDPXT9XcTz2l/XV+lYf/oSJdhM9w5P7A2E97UVpAYQSkNG6nglpJ+NiN3QFwQZb7tw==" saltValue="SS+DFm1YhBxq+8u9f/za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4931</v>
      </c>
      <c r="J9" s="194">
        <v>2350</v>
      </c>
      <c r="K9" s="194">
        <v>1897</v>
      </c>
      <c r="L9" s="194">
        <v>5384</v>
      </c>
      <c r="M9" s="194">
        <v>626</v>
      </c>
      <c r="N9" s="194">
        <v>546</v>
      </c>
      <c r="O9" s="194">
        <v>566</v>
      </c>
      <c r="P9" s="194">
        <v>405</v>
      </c>
      <c r="Q9" s="194">
        <v>319</v>
      </c>
      <c r="R9" s="194">
        <v>6184</v>
      </c>
      <c r="S9" s="194">
        <v>5521</v>
      </c>
      <c r="T9" s="194">
        <v>1832</v>
      </c>
      <c r="U9" s="194">
        <v>2095</v>
      </c>
      <c r="V9" s="194">
        <v>5259</v>
      </c>
      <c r="W9" s="194">
        <v>441</v>
      </c>
      <c r="X9" s="201">
        <v>600</v>
      </c>
      <c r="Y9" s="204">
        <v>176</v>
      </c>
      <c r="Z9" s="194">
        <v>159</v>
      </c>
      <c r="AA9" s="194">
        <v>151</v>
      </c>
      <c r="AB9" s="194">
        <v>184</v>
      </c>
      <c r="AC9" s="194">
        <v>0</v>
      </c>
      <c r="AD9" s="194">
        <v>0</v>
      </c>
      <c r="AE9" s="194">
        <v>0</v>
      </c>
      <c r="AF9" s="201">
        <v>0</v>
      </c>
      <c r="AG9" s="204">
        <v>280</v>
      </c>
      <c r="AH9" s="194">
        <v>134</v>
      </c>
      <c r="AI9" s="194">
        <v>186</v>
      </c>
      <c r="AJ9" s="205">
        <v>228</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5801</v>
      </c>
      <c r="AZ9" s="133">
        <f>IF(ISNUMBER(IF(J_V="SI",T9,T9+AH9)),IF(J_V="SI",T9,T9+AH9)," - ")</f>
        <v>1966</v>
      </c>
      <c r="BA9" s="134">
        <f>IF(ISNUMBER(IF(J_V="SI",U9,U9+AI9)),IF(J_V="SI",U9,U9+AI9)," - ")</f>
        <v>2281</v>
      </c>
      <c r="BB9" s="134">
        <f>IF(ISNUMBER(IF(J_V="SI",V9,V9+AJ9)),IF(J_V="SI",V9,V9+AJ9)," - ")</f>
        <v>5487</v>
      </c>
      <c r="BC9" s="135">
        <f>IF(ISNUMBER(X9),X9," - ")</f>
        <v>600</v>
      </c>
      <c r="BD9" s="136">
        <f>IF(ISNUMBER(BA9/AZ9),BA9/AZ9," - ")</f>
        <v>1.1602238046795523</v>
      </c>
      <c r="BE9" s="137">
        <f>IF(ISNUMBER(BB9/BA9),BB9/BA9, " - ")</f>
        <v>2.4055238930293732</v>
      </c>
      <c r="BF9" s="137">
        <f>IF(ISNUMBER(BC9/BA9),BC9/BA9, " - ")</f>
        <v>0.26304252520824201</v>
      </c>
      <c r="BG9" s="209">
        <f>IF(ISNUMBER((AY9+AZ9)/BA9),(AY9+AZ9)/BA9," - ")</f>
        <v>3.4050854888206925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107</v>
      </c>
      <c r="J10" s="194">
        <v>35</v>
      </c>
      <c r="K10" s="194">
        <v>27</v>
      </c>
      <c r="L10" s="194">
        <v>115</v>
      </c>
      <c r="M10" s="194">
        <v>17</v>
      </c>
      <c r="N10" s="194">
        <v>10</v>
      </c>
      <c r="O10" s="194">
        <v>4</v>
      </c>
      <c r="P10" s="194">
        <v>3</v>
      </c>
      <c r="Q10" s="194">
        <v>6</v>
      </c>
      <c r="R10" s="194">
        <v>23</v>
      </c>
      <c r="S10" s="194">
        <v>69</v>
      </c>
      <c r="T10" s="194">
        <v>28</v>
      </c>
      <c r="U10" s="194">
        <v>22</v>
      </c>
      <c r="V10" s="194">
        <v>75</v>
      </c>
      <c r="W10" s="194">
        <v>10</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69</v>
      </c>
      <c r="AZ10" s="139">
        <f t="shared" si="0"/>
        <v>28</v>
      </c>
      <c r="BA10" s="139">
        <f t="shared" si="0"/>
        <v>22</v>
      </c>
      <c r="BB10" s="139">
        <f t="shared" si="0"/>
        <v>75</v>
      </c>
      <c r="BC10" s="135">
        <f t="shared" si="0"/>
        <v>10</v>
      </c>
      <c r="BD10" s="136">
        <f>IF(ISNUMBER(BA10/AZ10),BA10/AZ10," - ")</f>
        <v>0.7857142857142857</v>
      </c>
      <c r="BE10" s="137">
        <f>IF(ISNUMBER(BB10/BA10),BB10/BA10, " - ")</f>
        <v>3.4090909090909092</v>
      </c>
      <c r="BF10" s="137">
        <f>IF(ISNUMBER(BC10/BA10),BC10/BA10, " - ")</f>
        <v>0.45454545454545453</v>
      </c>
      <c r="BG10" s="209">
        <f>IF(ISNUMBER((AY10+AZ10)/BA10),(AY10+AZ10)/BA10," - ")</f>
        <v>4.4090909090909092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5038</v>
      </c>
      <c r="J14" s="197">
        <f t="shared" si="7"/>
        <v>2385</v>
      </c>
      <c r="K14" s="197">
        <f t="shared" si="7"/>
        <v>1924</v>
      </c>
      <c r="L14" s="197">
        <f t="shared" si="7"/>
        <v>5499</v>
      </c>
      <c r="M14" s="197">
        <f t="shared" si="7"/>
        <v>643</v>
      </c>
      <c r="N14" s="197">
        <f t="shared" si="7"/>
        <v>556</v>
      </c>
      <c r="O14" s="197">
        <f t="shared" si="7"/>
        <v>570</v>
      </c>
      <c r="P14" s="197">
        <f t="shared" si="7"/>
        <v>408</v>
      </c>
      <c r="Q14" s="197">
        <f t="shared" si="7"/>
        <v>325</v>
      </c>
      <c r="R14" s="197">
        <f t="shared" si="7"/>
        <v>6207</v>
      </c>
      <c r="S14" s="197">
        <f t="shared" si="7"/>
        <v>5590</v>
      </c>
      <c r="T14" s="197">
        <f t="shared" si="7"/>
        <v>1860</v>
      </c>
      <c r="U14" s="197">
        <f t="shared" si="7"/>
        <v>2117</v>
      </c>
      <c r="V14" s="197">
        <f t="shared" si="7"/>
        <v>5334</v>
      </c>
      <c r="W14" s="197">
        <f t="shared" si="7"/>
        <v>451</v>
      </c>
      <c r="X14" s="197">
        <f t="shared" si="7"/>
        <v>610</v>
      </c>
      <c r="Y14" s="197">
        <f t="shared" si="7"/>
        <v>176</v>
      </c>
      <c r="Z14" s="197">
        <f t="shared" si="7"/>
        <v>159</v>
      </c>
      <c r="AA14" s="197">
        <f t="shared" si="7"/>
        <v>151</v>
      </c>
      <c r="AB14" s="197">
        <f t="shared" si="7"/>
        <v>184</v>
      </c>
      <c r="AC14" s="197">
        <f t="shared" si="7"/>
        <v>0</v>
      </c>
      <c r="AD14" s="197">
        <f t="shared" si="7"/>
        <v>0</v>
      </c>
      <c r="AE14" s="197">
        <f t="shared" si="7"/>
        <v>0</v>
      </c>
      <c r="AF14" s="197">
        <f>SUBTOTAL(9,AF9:AF13)</f>
        <v>0</v>
      </c>
      <c r="AG14" s="197">
        <f t="shared" ref="AG14:AT14" si="8">SUBTOTAL(9,AG8:AG13)</f>
        <v>280</v>
      </c>
      <c r="AH14" s="197">
        <f t="shared" si="8"/>
        <v>134</v>
      </c>
      <c r="AI14" s="197">
        <f t="shared" si="8"/>
        <v>186</v>
      </c>
      <c r="AJ14" s="197">
        <f t="shared" si="8"/>
        <v>228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5870</v>
      </c>
      <c r="AZ14" s="197">
        <f>SUBTOTAL(9,AZ8:AZ13)</f>
        <v>1994</v>
      </c>
      <c r="BA14" s="197">
        <f>SUBTOTAL(9,BA8:BA13)</f>
        <v>2303</v>
      </c>
      <c r="BB14" s="197">
        <f>SUBTOTAL(9,BB8:BB13)</f>
        <v>5562</v>
      </c>
      <c r="BC14" s="197">
        <f>SUBTOTAL(9,BC8:BC13)</f>
        <v>610</v>
      </c>
      <c r="BD14" s="219">
        <f>IF(ISNUMBER(BA14/AZ14),BA14/AZ14," - ")</f>
        <v>1.1549648946840521</v>
      </c>
      <c r="BE14" s="220">
        <f>IF(ISNUMBER(BB14/BA14),BB14/BA14, " - ")</f>
        <v>2.4151107251411204</v>
      </c>
      <c r="BF14" s="220">
        <f>IF(ISNUMBER(BC14/BA14),BC14/BA14, " - ")</f>
        <v>0.26487190620929224</v>
      </c>
      <c r="BG14" s="221">
        <f>IF(ISNUMBER((AY14+AZ14)/BA14),(AY14+AZ14)/BA14," - ")</f>
        <v>3.414676508901433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4591</v>
      </c>
      <c r="J16" s="196">
        <v>2601</v>
      </c>
      <c r="K16" s="196">
        <v>2835</v>
      </c>
      <c r="L16" s="196">
        <v>4153</v>
      </c>
      <c r="M16" s="196">
        <v>382</v>
      </c>
      <c r="N16" s="196">
        <v>1956</v>
      </c>
      <c r="O16" s="194">
        <v>0</v>
      </c>
      <c r="P16" s="196">
        <v>43</v>
      </c>
      <c r="Q16" s="196">
        <v>64</v>
      </c>
      <c r="R16" s="196">
        <v>247</v>
      </c>
      <c r="S16" s="196">
        <v>5204</v>
      </c>
      <c r="T16" s="196">
        <v>2024</v>
      </c>
      <c r="U16" s="196">
        <v>2301</v>
      </c>
      <c r="V16" s="196">
        <v>5015</v>
      </c>
      <c r="W16" s="196">
        <v>387</v>
      </c>
      <c r="X16" s="202">
        <v>1282</v>
      </c>
      <c r="Y16" s="215">
        <v>0</v>
      </c>
      <c r="Z16" s="196">
        <v>0</v>
      </c>
      <c r="AA16" s="196">
        <v>0</v>
      </c>
      <c r="AB16" s="196">
        <v>0</v>
      </c>
      <c r="AC16" s="196">
        <v>0</v>
      </c>
      <c r="AD16" s="196">
        <v>2</v>
      </c>
      <c r="AE16" s="196">
        <v>2</v>
      </c>
      <c r="AF16" s="202">
        <v>0</v>
      </c>
      <c r="AG16" s="215">
        <v>0</v>
      </c>
      <c r="AH16" s="196">
        <v>0</v>
      </c>
      <c r="AI16" s="196">
        <v>0</v>
      </c>
      <c r="AJ16" s="216">
        <v>0</v>
      </c>
      <c r="AK16" s="195">
        <v>0</v>
      </c>
      <c r="AL16" s="196">
        <v>0</v>
      </c>
      <c r="AM16" s="196">
        <v>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5204</v>
      </c>
      <c r="AZ16" s="139">
        <f t="shared" si="10"/>
        <v>2024</v>
      </c>
      <c r="BA16" s="139">
        <f t="shared" si="10"/>
        <v>2301</v>
      </c>
      <c r="BB16" s="139">
        <f t="shared" si="10"/>
        <v>5015</v>
      </c>
      <c r="BC16" s="135">
        <f>IF(ISNUMBER(W16),W16," - ")</f>
        <v>387</v>
      </c>
      <c r="BD16" s="136">
        <f>IF(ISNUMBER(BA16/AZ16),BA16/AZ16," - ")</f>
        <v>1.1368577075098814</v>
      </c>
      <c r="BE16" s="137">
        <f>IF(ISNUMBER(BB16/BA16),BB16/BA16, " - ")</f>
        <v>2.1794871794871793</v>
      </c>
      <c r="BF16" s="137">
        <f>IF(ISNUMBER(BC16/BA16),BC16/BA16, " - ")</f>
        <v>0.16818774445893089</v>
      </c>
      <c r="BG16" s="209">
        <f t="shared" ref="BG16:BG22" si="11">IF(ISNUMBER((AY16+AZ16)/BA16),(AY16+AZ16)/BA16," - ")</f>
        <v>3.1412429378531073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289</v>
      </c>
      <c r="J18" s="196">
        <v>306</v>
      </c>
      <c r="K18" s="196">
        <v>284</v>
      </c>
      <c r="L18" s="196">
        <v>311</v>
      </c>
      <c r="M18" s="196">
        <v>51</v>
      </c>
      <c r="N18" s="196">
        <v>133</v>
      </c>
      <c r="O18" s="196">
        <v>0</v>
      </c>
      <c r="P18" s="196">
        <v>1</v>
      </c>
      <c r="Q18" s="196">
        <v>0</v>
      </c>
      <c r="R18" s="196">
        <v>7</v>
      </c>
      <c r="S18" s="196">
        <v>333</v>
      </c>
      <c r="T18" s="196">
        <v>347</v>
      </c>
      <c r="U18" s="196">
        <v>377</v>
      </c>
      <c r="V18" s="196">
        <v>304</v>
      </c>
      <c r="W18" s="196">
        <v>54</v>
      </c>
      <c r="X18" s="202">
        <v>157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333</v>
      </c>
      <c r="AZ18" s="139">
        <f t="shared" si="15"/>
        <v>347</v>
      </c>
      <c r="BA18" s="139">
        <f t="shared" si="15"/>
        <v>377</v>
      </c>
      <c r="BB18" s="139">
        <f t="shared" si="15"/>
        <v>304</v>
      </c>
      <c r="BC18" s="135">
        <f>IF(ISNUMBER(W18),W18," - ")</f>
        <v>54</v>
      </c>
      <c r="BD18" s="136">
        <f>IF(ISNUMBER(BA18/AZ18),BA18/AZ18," - ")</f>
        <v>1.0864553314121037</v>
      </c>
      <c r="BE18" s="137">
        <f>IF(ISNUMBER(BB18/BA18),BB18/BA18, " - ")</f>
        <v>0.80636604774535814</v>
      </c>
      <c r="BF18" s="137">
        <f>IF(ISNUMBER(BC18/BA18),BC18/BA18, " - ")</f>
        <v>0.14323607427055704</v>
      </c>
      <c r="BG18" s="209">
        <f>IF(ISNUMBER((AY18+AZ18)/BA18),(AY18+AZ18)/BA18," - ")</f>
        <v>1.8037135278514589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4880</v>
      </c>
      <c r="J23" s="197">
        <f t="shared" si="21"/>
        <v>2907</v>
      </c>
      <c r="K23" s="197">
        <f t="shared" si="21"/>
        <v>3119</v>
      </c>
      <c r="L23" s="197">
        <f t="shared" si="21"/>
        <v>4464</v>
      </c>
      <c r="M23" s="197">
        <f t="shared" si="21"/>
        <v>433</v>
      </c>
      <c r="N23" s="197">
        <f t="shared" si="21"/>
        <v>2089</v>
      </c>
      <c r="O23" s="197">
        <f t="shared" si="21"/>
        <v>0</v>
      </c>
      <c r="P23" s="197">
        <f t="shared" si="21"/>
        <v>44</v>
      </c>
      <c r="Q23" s="197">
        <f t="shared" si="21"/>
        <v>64</v>
      </c>
      <c r="R23" s="197">
        <f t="shared" si="21"/>
        <v>254</v>
      </c>
      <c r="S23" s="197">
        <f t="shared" si="21"/>
        <v>5537</v>
      </c>
      <c r="T23" s="197">
        <f t="shared" si="21"/>
        <v>2371</v>
      </c>
      <c r="U23" s="197">
        <f t="shared" si="21"/>
        <v>2678</v>
      </c>
      <c r="V23" s="197">
        <f t="shared" si="21"/>
        <v>5319</v>
      </c>
      <c r="W23" s="197">
        <f t="shared" si="21"/>
        <v>441</v>
      </c>
      <c r="X23" s="197">
        <f t="shared" si="21"/>
        <v>1439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5537</v>
      </c>
      <c r="AZ23" s="197">
        <f>SUBTOTAL(9,AZ15:AZ22)</f>
        <v>2371</v>
      </c>
      <c r="BA23" s="197">
        <f>SUBTOTAL(9,BA15:BA22)</f>
        <v>2678</v>
      </c>
      <c r="BB23" s="197">
        <f>SUBTOTAL(9,BB15:BB22)</f>
        <v>5319</v>
      </c>
      <c r="BC23" s="197">
        <f>SUBTOTAL(9,BC15:BC22)</f>
        <v>441</v>
      </c>
      <c r="BD23" s="219">
        <f>IF(ISNUMBER(BA23/AZ23),BA23/AZ23," - ")</f>
        <v>1.1294812315478702</v>
      </c>
      <c r="BE23" s="220">
        <f>IF(ISNUMBER(BB23/BA23),BB23/BA23, " - ")</f>
        <v>1.986183719193428</v>
      </c>
      <c r="BF23" s="220">
        <f>IF(ISNUMBER(BC23/BA23),BC23/BA23, " - ")</f>
        <v>0.16467513069454817</v>
      </c>
      <c r="BG23" s="221">
        <f>IF(ISNUMBER((AY23+AZ23)/BA23),(AY23+AZ23)/BA23," - ")</f>
        <v>2.9529499626587006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9918</v>
      </c>
      <c r="J31" s="144">
        <f t="shared" si="36"/>
        <v>5292</v>
      </c>
      <c r="K31" s="144">
        <f t="shared" si="36"/>
        <v>5043</v>
      </c>
      <c r="L31" s="144">
        <f t="shared" si="36"/>
        <v>9963</v>
      </c>
      <c r="M31" s="144">
        <f t="shared" si="36"/>
        <v>1076</v>
      </c>
      <c r="N31" s="144">
        <f t="shared" si="36"/>
        <v>2645</v>
      </c>
      <c r="O31" s="144">
        <f t="shared" si="36"/>
        <v>570</v>
      </c>
      <c r="P31" s="144">
        <f t="shared" si="36"/>
        <v>452</v>
      </c>
      <c r="Q31" s="144">
        <f t="shared" si="36"/>
        <v>389</v>
      </c>
      <c r="R31" s="144">
        <f t="shared" si="36"/>
        <v>6461</v>
      </c>
      <c r="S31" s="144">
        <f t="shared" si="36"/>
        <v>11127</v>
      </c>
      <c r="T31" s="144">
        <f t="shared" si="36"/>
        <v>4231</v>
      </c>
      <c r="U31" s="144">
        <f t="shared" si="36"/>
        <v>4795</v>
      </c>
      <c r="V31" s="144">
        <f t="shared" si="36"/>
        <v>10653</v>
      </c>
      <c r="W31" s="144">
        <f t="shared" si="36"/>
        <v>892</v>
      </c>
      <c r="X31" s="144">
        <f t="shared" si="36"/>
        <v>2049</v>
      </c>
      <c r="Y31" s="144">
        <f t="shared" si="36"/>
        <v>176</v>
      </c>
      <c r="Z31" s="144">
        <f t="shared" si="36"/>
        <v>159</v>
      </c>
      <c r="AA31" s="144">
        <f t="shared" si="36"/>
        <v>151</v>
      </c>
      <c r="AB31" s="144">
        <f t="shared" si="36"/>
        <v>184</v>
      </c>
      <c r="AC31" s="144">
        <f t="shared" si="36"/>
        <v>0</v>
      </c>
      <c r="AD31" s="144">
        <f t="shared" si="36"/>
        <v>2</v>
      </c>
      <c r="AE31" s="144">
        <f t="shared" si="36"/>
        <v>2</v>
      </c>
      <c r="AF31" s="144">
        <f t="shared" si="36"/>
        <v>0</v>
      </c>
      <c r="AG31" s="144">
        <f t="shared" si="36"/>
        <v>280</v>
      </c>
      <c r="AH31" s="144">
        <f t="shared" si="36"/>
        <v>134</v>
      </c>
      <c r="AI31" s="144">
        <f t="shared" si="36"/>
        <v>186</v>
      </c>
      <c r="AJ31" s="144">
        <f t="shared" si="36"/>
        <v>228</v>
      </c>
      <c r="AK31" s="144">
        <f t="shared" si="36"/>
        <v>0</v>
      </c>
      <c r="AL31" s="144">
        <f t="shared" si="36"/>
        <v>0</v>
      </c>
      <c r="AM31" s="144">
        <f t="shared" si="36"/>
        <v>0</v>
      </c>
      <c r="AN31" s="224">
        <f t="shared" si="36"/>
        <v>0</v>
      </c>
      <c r="AO31" s="225">
        <v>10</v>
      </c>
      <c r="AP31" s="225">
        <v>10</v>
      </c>
      <c r="AQ31" s="225">
        <v>10</v>
      </c>
      <c r="AR31" s="225">
        <v>10</v>
      </c>
      <c r="AS31" s="166">
        <f t="shared" si="36"/>
        <v>0</v>
      </c>
      <c r="AT31" s="166">
        <f t="shared" si="36"/>
        <v>0</v>
      </c>
      <c r="AU31" s="225"/>
      <c r="AV31" s="226"/>
      <c r="AW31" s="225"/>
      <c r="AX31" s="226"/>
      <c r="AY31" s="143">
        <f>SUBTOTAL(9,AY9:AY30)</f>
        <v>11407</v>
      </c>
      <c r="AZ31" s="144">
        <f>SUBTOTAL(9,AZ9:AZ30)</f>
        <v>4365</v>
      </c>
      <c r="BA31" s="144">
        <f>SUBTOTAL(9,BA9:BA30)</f>
        <v>4981</v>
      </c>
      <c r="BB31" s="144">
        <f>SUBTOTAL(9,BB9:BB30)</f>
        <v>10881</v>
      </c>
      <c r="BC31" s="145">
        <f>SUBTOTAL(9,BC9:BC30)</f>
        <v>1051</v>
      </c>
      <c r="BD31" s="227">
        <f>IF(ISNUMBER(BA31/AZ31),BA31/AZ31," - ")</f>
        <v>1.1411225658648338</v>
      </c>
      <c r="BE31" s="224">
        <f>IF(ISNUMBER(BB31/BA31),BB31/BA31, " - ")</f>
        <v>2.1845011041959448</v>
      </c>
      <c r="BF31" s="224">
        <f>IF(ISNUMBER(BC31/BA31),BC31/BA31, " - ")</f>
        <v>0.21100180686609116</v>
      </c>
      <c r="BG31" s="145">
        <f>IF(ISNUMBER((AY31+AZ31)/BA31),(AY31+AZ31)/BA31," - ")</f>
        <v>3.166432443284481</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g/dviXQMyJi3Y6XoCftLz1mizaJTp2w2l4uhblBRNxfJgv6ZRDlsgwSr82/nFb02OLtWnmJ8OD2QbOnpbBQA==" saltValue="j+RS2SbXVHDoWBjqOMhL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UB05XE/qPZ/O08R1rlroDAxwmTZf450SE4kBWGzVmvcoTks/a+FDhmOrUqIDBI+fcYgZY0SHhj4MWxuRNwVg==" saltValue="JVUy6VNGRgSA8Mp8wN1x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EIVISSA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159</v>
      </c>
      <c r="O9" s="549"/>
      <c r="P9" s="549"/>
      <c r="Q9" s="547">
        <f>IF(ISNUMBER(Datos!P9),Datos!P9,0)</f>
        <v>405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319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184</v>
      </c>
      <c r="AI9" s="549" t="str">
        <f>IF(ISNUMBER(Datos!CD9),Datos!CD9,"-")</f>
        <v>-</v>
      </c>
      <c r="AJ9" s="549" t="str">
        <f>IF(ISNUMBER(Datos!EN9),Datos!EN9," - ")</f>
        <v xml:space="preserve"> - </v>
      </c>
      <c r="AK9" s="549"/>
      <c r="AL9" s="550"/>
      <c r="AM9" s="766">
        <f>IF(ISNUMBER(Datos!R9),Datos!R9," - ")</f>
        <v>6184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626</v>
      </c>
      <c r="BD9" s="693">
        <f>IF(ISNUMBER(Datos!N9),Datos!N9," - ")</f>
        <v>546</v>
      </c>
      <c r="BE9" s="693" t="str">
        <f>IF(ISNUMBER(Datos!BW9),Datos!BW9," - ")</f>
        <v xml:space="preserve"> - </v>
      </c>
      <c r="BF9" s="762" t="str">
        <f>IF(ISNUMBER(Datos!BX9),Datos!BX9," - ")</f>
        <v xml:space="preserve"> - </v>
      </c>
      <c r="BG9" s="763">
        <f>IF(ISNUMBER(IF(J_V="SI",Datos!K9/Datos!J9,(Datos!K9+Datos!AA9)/(Datos!J9+Datos!Z9))),IF(J_V="SI",Datos!K9/Datos!J9,(Datos!K9+Datos!AA9)/(Datos!J9+Datos!Z9))," - ")</f>
        <v>0.81626145874850542</v>
      </c>
      <c r="BH9" s="764">
        <f>IF(ISNUMBER(((IF(J_V="SI",Datos!L9/Datos!K9,(Datos!L9+Datos!AB9)/(Datos!K9+Datos!AA9)))*11)/factor_trimestre),((IF(J_V="SI",Datos!L9/Datos!K9,(Datos!L9+Datos!AB9)/(Datos!K9+Datos!AA9)))*11)/factor_trimestre," - ")</f>
        <v>8.15625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1.4102984585109873E-2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107</v>
      </c>
      <c r="G10" s="543">
        <f>IF(ISNUMBER(Datos!I10),Datos!I10," - ")</f>
        <v>107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6</v>
      </c>
      <c r="AD10" s="549"/>
      <c r="AE10" s="563"/>
      <c r="AF10" s="551">
        <f>IF(ISNUMBER(Datos!L10),Datos!L10,"-")</f>
        <v>115</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10</v>
      </c>
      <c r="BE10" s="693" t="str">
        <f>IF(ISNUMBER(Datos!BW10),Datos!BW10," - ")</f>
        <v xml:space="preserve"> - </v>
      </c>
      <c r="BF10" s="762" t="str">
        <f>IF(ISNUMBER(Datos!BX10),Datos!BX10," - ")</f>
        <v xml:space="preserve"> - </v>
      </c>
      <c r="BG10" s="763">
        <f>IF(ISNUMBER(Datos!K10/Datos!J10),Datos!K10/Datos!J10," - ")</f>
        <v>0.77142857142857146</v>
      </c>
      <c r="BH10" s="764">
        <f>IF(ISNUMBER(((Datos!L10/Datos!K10)*11)/factor_trimestre),((Datos!L10/Datos!K10)*11)/factor_trimestre," - ")</f>
        <v>12.777777777777779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-0.11538461538461539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107</v>
      </c>
      <c r="G14" s="1197">
        <f t="shared" si="1"/>
        <v>107</v>
      </c>
      <c r="H14" s="1198">
        <f t="shared" si="1"/>
        <v>0</v>
      </c>
      <c r="I14" s="1197">
        <f t="shared" si="1"/>
        <v>0</v>
      </c>
      <c r="J14" s="1164">
        <f t="shared" si="1"/>
        <v>0</v>
      </c>
      <c r="K14" s="1164">
        <f t="shared" si="1"/>
        <v>0</v>
      </c>
      <c r="L14" s="1198">
        <f t="shared" si="1"/>
        <v>0</v>
      </c>
      <c r="M14" s="1198">
        <f t="shared" si="1"/>
        <v>0</v>
      </c>
      <c r="N14" s="1198">
        <f t="shared" si="1"/>
        <v>159</v>
      </c>
      <c r="O14" s="1199">
        <f t="shared" si="1"/>
        <v>0</v>
      </c>
      <c r="P14" s="1199">
        <f t="shared" si="1"/>
        <v>0</v>
      </c>
      <c r="Q14" s="1198">
        <f t="shared" si="1"/>
        <v>408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325</v>
      </c>
      <c r="AD14" s="1198">
        <f t="shared" si="2"/>
        <v>0</v>
      </c>
      <c r="AE14" s="1198">
        <f t="shared" si="2"/>
        <v>0</v>
      </c>
      <c r="AF14" s="1198">
        <f t="shared" si="2"/>
        <v>115</v>
      </c>
      <c r="AG14" s="1198">
        <f t="shared" si="2"/>
        <v>0</v>
      </c>
      <c r="AH14" s="1198">
        <f t="shared" si="2"/>
        <v>184</v>
      </c>
      <c r="AI14" s="1198">
        <f t="shared" si="2"/>
        <v>0</v>
      </c>
      <c r="AJ14" s="1198">
        <f t="shared" si="2"/>
        <v>0</v>
      </c>
      <c r="AK14" s="1198">
        <f t="shared" si="2"/>
        <v>0</v>
      </c>
      <c r="AL14" s="1198">
        <f t="shared" si="2"/>
        <v>0</v>
      </c>
      <c r="AM14" s="1198">
        <f t="shared" si="2"/>
        <v>6207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643</v>
      </c>
      <c r="BD14" s="1198">
        <f t="shared" si="2"/>
        <v>556</v>
      </c>
      <c r="BE14" s="1198">
        <f t="shared" si="2"/>
        <v>0</v>
      </c>
      <c r="BF14" s="1198">
        <f t="shared" si="2"/>
        <v>0</v>
      </c>
      <c r="BG14" s="1198">
        <f>IF(ISNUMBER(Datos!K14/Datos!J14),Datos!K14/Datos!J14," - ")</f>
        <v>0.80670859538784068</v>
      </c>
      <c r="BH14" s="1202">
        <f>IF(ISNUMBER(((Datos!L14/Datos!K14)*11)/factor_trimestre),((Datos!L14/Datos!K14)*11)/factor_trimestre," - ")</f>
        <v>8.5743243243243246</v>
      </c>
      <c r="BI14" s="1198">
        <f>IF(ISNUMBER('Resol  Asuntos'!D14/NºAsuntos!G14),'Resol  Asuntos'!D14/NºAsuntos!G14," - ")</f>
        <v>0.30987951807228914</v>
      </c>
      <c r="BJ14" s="1198" t="str">
        <f>IF(ISNUMBER(Datos!CI14/Datos!CJ14),Datos!CI14/Datos!CJ14," - ")</f>
        <v xml:space="preserve"> - </v>
      </c>
      <c r="BK14" s="1198">
        <f>SUBTOTAL(9,BK8:BK13)</f>
        <v>0</v>
      </c>
      <c r="BL14" s="1198">
        <f>IF(ISNUMBER((I14-AB14+L14)/(F14)),(I14-AB14+L14)/(F14)," - ")</f>
        <v>-0.25233644859813081</v>
      </c>
      <c r="BM14" s="1203">
        <f>SUBTOTAL(9,BM9:BM13)</f>
        <v>-0.10128163079950551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4387</v>
      </c>
      <c r="G16" s="743">
        <f>IF(ISNUMBER(IF(D_I="SI",Datos!I16,Datos!I16+Datos!AC16)),IF(D_I="SI",Datos!I16,Datos!I16+Datos!AC16)," - ")</f>
        <v>4591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2835</v>
      </c>
      <c r="AC16" s="240">
        <f>IF(ISNUMBER(Datos!Q16),Datos!Q16," - ")</f>
        <v>64</v>
      </c>
      <c r="AD16" s="374"/>
      <c r="AE16" s="562"/>
      <c r="AF16" s="741">
        <f>IF(ISNUMBER(IF(D_I="SI",Datos!L16,Datos!L16+Datos!AF16)),IF(D_I="SI",Datos!L16,Datos!L16+Datos!AF16)," - ")</f>
        <v>4153</v>
      </c>
      <c r="AG16" s="374"/>
      <c r="AH16" s="374"/>
      <c r="AI16" s="374"/>
      <c r="AJ16" s="549"/>
      <c r="AK16" s="374"/>
      <c r="AL16" s="545"/>
      <c r="AM16" s="375">
        <f>IF(ISNUMBER(Datos!R16),Datos!R16," - ")</f>
        <v>247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382</v>
      </c>
      <c r="BD16" s="243">
        <f>IF(ISNUMBER(Datos!N16),Datos!N16," - ")</f>
        <v>1956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1.0899653979238755</v>
      </c>
      <c r="BH16" s="764">
        <f>IF(ISNUMBER(((IF(D_I="SI",Datos!L16/Datos!K16,(Datos!L16+Datos!AF16)/(Datos!K16+Datos!AE16)))*11)/factor_trimestre),((IF(D_I="SI",Datos!L16/Datos!K16,(Datos!L16+Datos!AF16)/(Datos!K16+Datos!AE16)))*11)/factor_trimestre," - ")</f>
        <v>4.3947089947089948</v>
      </c>
      <c r="BI16" s="266">
        <f>IF(ISNUMBER('Resol  Asuntos'!D16/NºAsuntos!G16),'Resol  Asuntos'!D16/NºAsuntos!G16," - ")</f>
        <v>0.1347442680776014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289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284</v>
      </c>
      <c r="AC18" s="547">
        <f>IF(ISNUMBER(Datos!Q18),Datos!Q18," - ")</f>
        <v>0</v>
      </c>
      <c r="AD18" s="549"/>
      <c r="AE18" s="562"/>
      <c r="AF18" s="551">
        <f>IF(ISNUMBER(Datos!L18),Datos!L18,"-")</f>
        <v>311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0.92810457516339873</v>
      </c>
      <c r="BH18" s="764">
        <f>IF(ISNUMBER(((IF(D_I="SI",Datos!L18/Datos!K18,(Datos!L18+Datos!AF18)/(Datos!K18+Datos!AE18)))*11)/factor_trimestre),((IF(D_I="SI",Datos!L18/Datos!K18,(Datos!L18+Datos!AF18)/(Datos!K18+Datos!AE18)))*11)/factor_trimestre," - ")</f>
        <v>3.285211267605634</v>
      </c>
      <c r="BI18" s="763">
        <f>IF(ISNUMBER('Resol  Asuntos'!D18/NºAsuntos!G18),'Resol  Asuntos'!D18/NºAsuntos!G18," - ")</f>
        <v>0.1795774647887324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4387</v>
      </c>
      <c r="G23" s="1197">
        <f>SUBTOTAL(9,G16:G22)</f>
        <v>4880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3119</v>
      </c>
      <c r="AC23" s="1198">
        <f t="shared" si="5"/>
        <v>64</v>
      </c>
      <c r="AD23" s="1198">
        <f t="shared" si="5"/>
        <v>0</v>
      </c>
      <c r="AE23" s="1198">
        <f t="shared" si="5"/>
        <v>0</v>
      </c>
      <c r="AF23" s="1198">
        <f t="shared" si="5"/>
        <v>4464</v>
      </c>
      <c r="AG23" s="1198">
        <f t="shared" si="5"/>
        <v>0</v>
      </c>
      <c r="AH23" s="1198">
        <f t="shared" si="5"/>
        <v>0</v>
      </c>
      <c r="AI23" s="1198">
        <f t="shared" si="5"/>
        <v>0</v>
      </c>
      <c r="AJ23" s="1198">
        <f t="shared" si="5"/>
        <v>0</v>
      </c>
      <c r="AK23" s="1198">
        <f t="shared" si="5"/>
        <v>0</v>
      </c>
      <c r="AL23" s="1198">
        <f t="shared" si="5"/>
        <v>0</v>
      </c>
      <c r="AM23" s="1198">
        <f t="shared" si="5"/>
        <v>254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433</v>
      </c>
      <c r="BD23" s="1198">
        <f t="shared" si="5"/>
        <v>2089</v>
      </c>
      <c r="BE23" s="1198">
        <f t="shared" si="5"/>
        <v>0</v>
      </c>
      <c r="BF23" s="1198">
        <f t="shared" si="5"/>
        <v>0</v>
      </c>
      <c r="BG23" s="1198">
        <f>IF(ISNUMBER(Datos!K23/Datos!J23),Datos!K23/Datos!J23," - ")</f>
        <v>1.0729274165806673</v>
      </c>
      <c r="BH23" s="1202">
        <f>IF(ISNUMBER(((Datos!L23/Datos!K23)*11)/factor_trimestre),((Datos!L23/Datos!K23)*11)/factor_trimestre," - ")</f>
        <v>4.2936838730362297</v>
      </c>
      <c r="BI23" s="1198">
        <f>SUBTOTAL(9,BI16:BI22)</f>
        <v>0.3143217328663338</v>
      </c>
      <c r="BJ23" s="1198">
        <f>SUBTOTAL(9,BJ16:BJ22)</f>
        <v>0</v>
      </c>
      <c r="BK23" s="1198">
        <f>SUBTOTAL(9,BK16:BK22)</f>
        <v>0</v>
      </c>
      <c r="BL23" s="1198">
        <f>IF(ISNUMBER((I23-AB23+L23)/(F23)),(I23-AB23+L23)/(F23)," - ")</f>
        <v>-0.71096421244586283</v>
      </c>
      <c r="BM23" s="1205">
        <f>IF(ISNUMBER((Datos!P23-Datos!Q23)/(Datos!R23-Datos!P23+Datos!Q23)),(Datos!P23-Datos!Q23)/(Datos!R23-Datos!P23+Datos!Q23)," - ")</f>
        <v>-7.2992700729927001E-2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4494</v>
      </c>
      <c r="G31" s="1117">
        <f t="shared" si="18"/>
        <v>4987</v>
      </c>
      <c r="H31" s="1119">
        <f t="shared" si="18"/>
        <v>0</v>
      </c>
      <c r="I31" s="1117">
        <f t="shared" si="18"/>
        <v>0</v>
      </c>
      <c r="J31" s="1119">
        <f t="shared" si="18"/>
        <v>0</v>
      </c>
      <c r="K31" s="1119">
        <f t="shared" si="18"/>
        <v>0</v>
      </c>
      <c r="L31" s="1180">
        <f t="shared" si="18"/>
        <v>0</v>
      </c>
      <c r="M31" s="1180">
        <f t="shared" si="18"/>
        <v>0</v>
      </c>
      <c r="N31" s="1180">
        <f t="shared" si="18"/>
        <v>159</v>
      </c>
      <c r="O31" s="1180">
        <f t="shared" si="18"/>
        <v>0</v>
      </c>
      <c r="P31" s="1180">
        <f t="shared" si="18"/>
        <v>0</v>
      </c>
      <c r="Q31" s="1119">
        <f t="shared" si="18"/>
        <v>452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3146</v>
      </c>
      <c r="AC31" s="1118">
        <f t="shared" si="19"/>
        <v>389</v>
      </c>
      <c r="AD31" s="1118">
        <f t="shared" si="19"/>
        <v>0</v>
      </c>
      <c r="AE31" s="1118">
        <f t="shared" si="19"/>
        <v>0</v>
      </c>
      <c r="AF31" s="1125">
        <f t="shared" si="19"/>
        <v>4579</v>
      </c>
      <c r="AG31" s="1125">
        <f t="shared" si="19"/>
        <v>0</v>
      </c>
      <c r="AH31" s="1125">
        <f t="shared" si="19"/>
        <v>184</v>
      </c>
      <c r="AI31" s="1125">
        <f t="shared" si="19"/>
        <v>0</v>
      </c>
      <c r="AJ31" s="1118">
        <f t="shared" si="19"/>
        <v>0</v>
      </c>
      <c r="AK31" s="1125">
        <f t="shared" si="19"/>
        <v>0</v>
      </c>
      <c r="AL31" s="1125">
        <f t="shared" si="19"/>
        <v>0</v>
      </c>
      <c r="AM31" s="1125">
        <f t="shared" si="19"/>
        <v>6461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1076</v>
      </c>
      <c r="BD31" s="1117">
        <f t="shared" si="19"/>
        <v>2645</v>
      </c>
      <c r="BE31" s="1117">
        <f t="shared" si="19"/>
        <v>0</v>
      </c>
      <c r="BF31" s="1127">
        <f t="shared" si="19"/>
        <v>0</v>
      </c>
      <c r="BG31" s="1223">
        <f>IF(ISNUMBER(Datos!K31/Datos!J31),Datos!K31/Datos!J31," - ")</f>
        <v>0.9529478458049887</v>
      </c>
      <c r="BH31" s="1223">
        <f>IF(ISNUMBER(((Datos!L31/Datos!K31)*11)/factor_trimestre),((Datos!L31/Datos!K31)*11)/factor_trimestre," - ")</f>
        <v>5.9268292682926829</v>
      </c>
      <c r="BI31" s="1103">
        <f>IF(ISNUMBER(Datos!J31/Datos!I31),Datos!J31/Datos!I31," - ")</f>
        <v>0.53357531760435573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-0.70004450378282157</v>
      </c>
      <c r="BM31" s="1188">
        <f>IF(ISNUMBER((Datos!P31-Datos!Q31+R31)/(Datos!R31-Datos!P31+Datos!Q31-R31)),(Datos!P31-Datos!Q31+R31)/(Datos!R31-Datos!P31+Datos!Q31-R31)," - ")</f>
        <v>9.8468271334792128E-3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2238.3213352867815</v>
      </c>
      <c r="G33" s="674">
        <f>IF(ISNUMBER(STDEV(G8:G30)),STDEV(G8:G30),"-")</f>
        <v>2265.1922235262527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1425.4759940187732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283.53382262338397</v>
      </c>
      <c r="BD33" s="673"/>
      <c r="BE33" s="673">
        <f>IF(ISNUMBER(STDEV(BE8:BE30)),STDEV(BE8:BE30),"-")</f>
        <v>0</v>
      </c>
      <c r="BF33" s="678">
        <f>IF(ISNUMBER(STDEV(BF8:BF30)),STDEV(BF8:BF30),"-")</f>
        <v>0</v>
      </c>
      <c r="BG33" s="1052">
        <f>IF(ISNUMBER(STDEV(BG8:BG30)),STDEV(BG8:BG30),"-")</f>
        <v>0.13986510603636468</v>
      </c>
      <c r="BH33" s="1058">
        <f>IF(ISNUMBER(STDEV(BH8:BH30)),STDEV(BH8:BH30),"-")</f>
        <v>3.6073464622728331</v>
      </c>
      <c r="BI33" s="273">
        <f>IF(ISNUMBER(STDEV(BI8:BI30)),STDEV(BI8:BI30),"-")</f>
        <v>9.132579651990673E-2</v>
      </c>
      <c r="BJ33" s="244" t="str">
        <f>IF(ISNUMBER(BL33/BM33),BL33/BM33," - ")</f>
        <v xml:space="preserve"> - </v>
      </c>
      <c r="BK33" s="709"/>
      <c r="BL33" s="681">
        <f>IF(ISNUMBER(STDEV(BL8:BL30)),STDEV(BL8:BL30),"-")</f>
        <v>0.32429880185715387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rRC69DkbP7TRO3+tR/JkUrzlqaaZ+p1oAT3y9DdmbE83BPNyAAcQhwtJ6vfn8uuXOC7gI73YH3EsEQXv48YkA==" saltValue="Lq1NxHULqToQqdIDhAOa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EIVISSA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405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319</v>
      </c>
      <c r="AA9" s="551" t="str">
        <f>IF(ISNUMBER(IF(J_V="SI",Datos!L9,Datos!L9+Datos!AB9)-IF(Monitorios="SI",Datos!CD9,0)),
                          IF(J_V="SI",Datos!L9,Datos!L9+Datos!AB9)-IF(Monitorios="SI",Datos!CD9,0),
                          " - ")</f>
        <v xml:space="preserve"> - </v>
      </c>
      <c r="AB9" s="549"/>
      <c r="AC9" s="549"/>
      <c r="AD9" s="563"/>
      <c r="AE9" s="563">
        <f>IF(ISNUMBER(Datos!R9),Datos!R9," - ")</f>
        <v>6184</v>
      </c>
      <c r="AF9" s="693" t="str">
        <f>IF(ISNUMBER(Datos!BV9),Datos!BV9," - ")</f>
        <v xml:space="preserve"> - </v>
      </c>
      <c r="AG9" s="552" t="str">
        <f>IF(ISNUMBER(Datos!DV9),Datos!DV9," - ")</f>
        <v xml:space="preserve"> - </v>
      </c>
      <c r="AH9" s="553"/>
      <c r="AI9" s="554"/>
      <c r="AJ9" s="552">
        <f>IF(ISNUMBER(Datos!M9),Datos!M9," - ")</f>
        <v>626</v>
      </c>
      <c r="AK9" s="693">
        <f>IF(ISNUMBER(Datos!N9),Datos!N9," - ")</f>
        <v>546</v>
      </c>
      <c r="AL9" s="693" t="str">
        <f>IF(ISNUMBER(Datos!BW9),Datos!BW9," - ")</f>
        <v xml:space="preserve"> - </v>
      </c>
      <c r="AM9" s="762" t="str">
        <f>IF(ISNUMBER(Datos!BX9),Datos!BX9," - ")</f>
        <v xml:space="preserve"> - </v>
      </c>
      <c r="AN9" s="763"/>
      <c r="AO9" s="764">
        <f>IF(ISNUMBER(((NºAsuntos!I9/NºAsuntos!G9)*11)/factor_trimestre),((NºAsuntos!I9/NºAsuntos!G9)*11)/factor_trimestre," - ")</f>
        <v>8.15625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1.4102984585109873E-2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107</v>
      </c>
      <c r="G10" s="552">
        <f>IF(ISNUMBER(Datos!I10),Datos!I10," - ")</f>
        <v>107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6</v>
      </c>
      <c r="AA10" s="551">
        <f>IF(ISNUMBER(Datos!L10),Datos!L10,"-")</f>
        <v>115</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17</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12.777777777777779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-0.11538461538461539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107</v>
      </c>
      <c r="G14" s="1197">
        <f>SUBTOTAL(9,G8:G13)</f>
        <v>107</v>
      </c>
      <c r="H14" s="1211"/>
      <c r="I14" s="1197">
        <f t="shared" ref="I14:N14" si="1">SUBTOTAL(9,I8:I13)</f>
        <v>0</v>
      </c>
      <c r="J14" s="1164">
        <f t="shared" si="1"/>
        <v>0</v>
      </c>
      <c r="K14" s="1211">
        <f t="shared" si="1"/>
        <v>0</v>
      </c>
      <c r="L14" s="1211">
        <f t="shared" si="1"/>
        <v>0</v>
      </c>
      <c r="M14" s="1211">
        <f t="shared" si="1"/>
        <v>0</v>
      </c>
      <c r="N14" s="1211">
        <f t="shared" si="1"/>
        <v>408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325</v>
      </c>
      <c r="AA14" s="1199">
        <f t="shared" si="3"/>
        <v>115</v>
      </c>
      <c r="AB14" s="1199">
        <f t="shared" si="3"/>
        <v>0</v>
      </c>
      <c r="AC14" s="1199">
        <f t="shared" si="3"/>
        <v>0</v>
      </c>
      <c r="AD14" s="1199">
        <f t="shared" si="3"/>
        <v>0</v>
      </c>
      <c r="AE14" s="1199">
        <f t="shared" si="3"/>
        <v>6207</v>
      </c>
      <c r="AF14" s="1211">
        <f t="shared" si="3"/>
        <v>0</v>
      </c>
      <c r="AG14" s="1211">
        <f t="shared" si="3"/>
        <v>0</v>
      </c>
      <c r="AH14" s="1211">
        <f t="shared" si="3"/>
        <v>0</v>
      </c>
      <c r="AI14" s="1211">
        <f t="shared" si="3"/>
        <v>0</v>
      </c>
      <c r="AJ14" s="1211">
        <f t="shared" si="3"/>
        <v>643</v>
      </c>
      <c r="AK14" s="1211">
        <f t="shared" si="3"/>
        <v>556</v>
      </c>
      <c r="AL14" s="1211">
        <f t="shared" si="3"/>
        <v>0</v>
      </c>
      <c r="AM14" s="1211">
        <f t="shared" si="3"/>
        <v>0</v>
      </c>
      <c r="AN14" s="1211">
        <f t="shared" si="3"/>
        <v>0</v>
      </c>
      <c r="AO14" s="1203">
        <f>IF(ISNUMBER(((NºAsuntos!I14/NºAsuntos!G14)*11)/factor_trimestre),((NºAsuntos!I14/NºAsuntos!G14)*11)/factor_trimestre," - ")</f>
        <v>8.2163855421686751</v>
      </c>
      <c r="AP14" s="1213" t="str">
        <f>IF(ISNUMBER(Datos!CI14/Datos!CJ14),Datos!CI14/Datos!CJ14," - ")</f>
        <v xml:space="preserve"> - </v>
      </c>
      <c r="AQ14" s="1236">
        <f t="shared" ref="AQ14:AV14" si="4">SUBTOTAL(9,AQ9:AQ13)</f>
        <v>0</v>
      </c>
      <c r="AR14" s="1236">
        <f t="shared" si="4"/>
        <v>-0.10128163079950551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4387</v>
      </c>
      <c r="G16" s="552">
        <f>IF(ISNUMBER(IF(D_I="SI",Datos!I16,Datos!I16+Datos!AC16)),IF(D_I="SI",Datos!I16,Datos!I16+Datos!AC16)," - ")</f>
        <v>4591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2835</v>
      </c>
      <c r="Z16" s="805">
        <f>IF(ISNUMBER(Datos!Q16),Datos!Q16," - ")</f>
        <v>64</v>
      </c>
      <c r="AA16" s="551">
        <f>IF(ISNUMBER(IF(D_I="SI",Datos!L16,Datos!L16+Datos!AF16)),IF(D_I="SI",Datos!L16,Datos!L16+Datos!AF16)," - ")</f>
        <v>4153</v>
      </c>
      <c r="AB16" s="549"/>
      <c r="AC16" s="549"/>
      <c r="AD16" s="563"/>
      <c r="AE16" s="563">
        <f>IF(ISNUMBER(Datos!R16),Datos!R16," - ")</f>
        <v>247</v>
      </c>
      <c r="AF16" s="693" t="str">
        <f>IF(ISNUMBER(Datos!BV16),Datos!BV16," - ")</f>
        <v xml:space="preserve"> - </v>
      </c>
      <c r="AG16" s="552"/>
      <c r="AH16" s="553"/>
      <c r="AI16" s="554"/>
      <c r="AJ16" s="552">
        <f>IF(ISNUMBER(Datos!M16),Datos!M16," - ")</f>
        <v>382</v>
      </c>
      <c r="AK16" s="693">
        <f>IF(ISNUMBER(Datos!N16),Datos!N16," - ")</f>
        <v>1956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4.3947089947089948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289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284</v>
      </c>
      <c r="Z18" s="805">
        <f>IF(ISNUMBER(Datos!Q18),Datos!Q18," - ")</f>
        <v>0</v>
      </c>
      <c r="AA18" s="551">
        <f>IF(ISNUMBER(Datos!L18),Datos!L18,"-")</f>
        <v>311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51</v>
      </c>
      <c r="AK18" s="693">
        <f>IF(ISNUMBER(Datos!N18),Datos!N18," - ")</f>
        <v>133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3.285211267605634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4387</v>
      </c>
      <c r="G23" s="1197">
        <f>SUBTOTAL(9,G16:G22)</f>
        <v>4880</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3119</v>
      </c>
      <c r="Z23" s="1240">
        <f t="shared" si="6"/>
        <v>64</v>
      </c>
      <c r="AA23" s="1240">
        <f t="shared" si="6"/>
        <v>4464</v>
      </c>
      <c r="AB23" s="1240">
        <f t="shared" si="6"/>
        <v>0</v>
      </c>
      <c r="AC23" s="1240">
        <f t="shared" si="6"/>
        <v>0</v>
      </c>
      <c r="AD23" s="1240">
        <f t="shared" si="6"/>
        <v>0</v>
      </c>
      <c r="AE23" s="1240">
        <f t="shared" si="6"/>
        <v>254</v>
      </c>
      <c r="AF23" s="1240">
        <f t="shared" si="6"/>
        <v>0</v>
      </c>
      <c r="AG23" s="1240">
        <f t="shared" si="6"/>
        <v>0</v>
      </c>
      <c r="AH23" s="1240">
        <f t="shared" si="6"/>
        <v>0</v>
      </c>
      <c r="AI23" s="1240">
        <f t="shared" si="6"/>
        <v>0</v>
      </c>
      <c r="AJ23" s="1240">
        <f t="shared" si="6"/>
        <v>433</v>
      </c>
      <c r="AK23" s="1240">
        <f t="shared" si="6"/>
        <v>2089</v>
      </c>
      <c r="AL23" s="1240">
        <f t="shared" si="6"/>
        <v>0</v>
      </c>
      <c r="AM23" s="1240">
        <f t="shared" si="6"/>
        <v>0</v>
      </c>
      <c r="AN23" s="1240">
        <f t="shared" si="6"/>
        <v>0</v>
      </c>
      <c r="AO23" s="1242">
        <f>IF(ISNUMBER(((NºAsuntos!I23/NºAsuntos!G23)*11)/factor_trimestre),((NºAsuntos!I23/NºAsuntos!G23)*11)/factor_trimestre," - ")</f>
        <v>4.2936838730362297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4494</v>
      </c>
      <c r="G31" s="1117">
        <f t="shared" si="12"/>
        <v>4987</v>
      </c>
      <c r="H31" s="1118">
        <f t="shared" si="12"/>
        <v>0</v>
      </c>
      <c r="I31" s="1117">
        <f t="shared" si="12"/>
        <v>0</v>
      </c>
      <c r="J31" s="1119">
        <f t="shared" si="12"/>
        <v>0</v>
      </c>
      <c r="K31" s="1117">
        <f t="shared" si="12"/>
        <v>0</v>
      </c>
      <c r="L31" s="1120">
        <f t="shared" si="12"/>
        <v>0</v>
      </c>
      <c r="M31" s="1117">
        <f t="shared" si="12"/>
        <v>0</v>
      </c>
      <c r="N31" s="1118">
        <f t="shared" si="12"/>
        <v>452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3146</v>
      </c>
      <c r="Z31" s="1124">
        <f t="shared" si="13"/>
        <v>389</v>
      </c>
      <c r="AA31" s="1125">
        <f t="shared" si="13"/>
        <v>4579</v>
      </c>
      <c r="AB31" s="1125">
        <f t="shared" si="13"/>
        <v>0</v>
      </c>
      <c r="AC31" s="1125">
        <f t="shared" si="13"/>
        <v>0</v>
      </c>
      <c r="AD31" s="1126">
        <f t="shared" si="13"/>
        <v>0</v>
      </c>
      <c r="AE31" s="1126">
        <f t="shared" si="13"/>
        <v>6461</v>
      </c>
      <c r="AF31" s="1127">
        <f t="shared" si="13"/>
        <v>0</v>
      </c>
      <c r="AG31" s="1128">
        <f t="shared" si="13"/>
        <v>0</v>
      </c>
      <c r="AH31" s="1129">
        <f t="shared" si="13"/>
        <v>0</v>
      </c>
      <c r="AI31" s="1127">
        <f t="shared" si="13"/>
        <v>0</v>
      </c>
      <c r="AJ31" s="1117">
        <f t="shared" si="13"/>
        <v>1076</v>
      </c>
      <c r="AK31" s="1117">
        <f t="shared" si="13"/>
        <v>2645</v>
      </c>
      <c r="AL31" s="1117">
        <f t="shared" si="13"/>
        <v>0</v>
      </c>
      <c r="AM31" s="1130">
        <f t="shared" si="13"/>
        <v>0</v>
      </c>
      <c r="AN31" s="1120">
        <f>IF(ISNUMBER(Datos!K31/Datos!J31),Datos!K31/Datos!J31," - ")</f>
        <v>0.9529478458049887</v>
      </c>
      <c r="AO31" s="1120">
        <f>IF(ISNUMBER(FIND("06",Criterios!A8,1)),(IF(ISNUMBER(((Datos!R31/Datos!Q31)*11)/factor_trimestre),((Datos!R31/Datos!Q31)*11)/factor_trimestre," - ")),(IF(ISNUMBER(((Datos!L31/Datos!K31)*11)/factor_trimestre),((Datos!L31/Datos!K31)*11)/factor_trimestre," - ")))</f>
        <v>5.9268292682926829</v>
      </c>
      <c r="AP31" s="1131" t="str">
        <f>IF(ISNUMBER(Datos!CI31/Datos!CJ31),Datos!CI31/Datos!CJ31," - ")</f>
        <v xml:space="preserve"> - </v>
      </c>
      <c r="AQ31" s="1131">
        <f>IF(OR(ISNUMBER(FIND("01",Criterios!A8,1)),ISNUMBER(FIND("02",Criterios!A8,1)),ISNUMBER(FIND("03",Criterios!A8,1)),ISNUMBER(FIND("04",Criterios!A8,1))),(J31-Y31+K31)/(F31-K31),(I31-Y31+K31)/(F31-K31))</f>
        <v>-0.70004450378282157</v>
      </c>
      <c r="AR31" s="1131">
        <f>IF(ISNUMBER((Datos!P31-Datos!Q31+O31)/(Datos!R31-Datos!P31+Datos!Q31-O31)),(Datos!P31-Datos!Q31+O31)/(Datos!R31-Datos!P31+Datos!Q31-O31)," - ")</f>
        <v>9.8468271334792128E-3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2238.3213352867815</v>
      </c>
      <c r="G33" s="674">
        <f>IF(ISNUMBER(STDEV(G8:G30)),STDEV(G8:G30),"-")</f>
        <v>2265.1922235262527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283.53382262338397</v>
      </c>
      <c r="AK33" s="276"/>
      <c r="AL33" s="276">
        <f>IF(ISNUMBER(STDEV(AL8:AL30)),STDEV(AL8:AL30),"-")</f>
        <v>0</v>
      </c>
      <c r="AM33" s="278">
        <f>IF(ISNUMBER(STDEV(AM8:AM30)),STDEV(AM8:AM30),"-")</f>
        <v>0</v>
      </c>
      <c r="AN33" s="660">
        <f>IF(ISNUMBER(STDEV(AN8:AN30)),STDEV(AN8:AN30),"-")</f>
        <v>0</v>
      </c>
      <c r="AO33" s="661">
        <f>IF(ISNUMBER(STDEV(AO8:AO30)),STDEV(AO8:AO30),"-")</f>
        <v>3.577224525344036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k/mKPJbK9qEm3wZh9MVqviSdpMvIade67pltZzS4Pg5HB5Jw+QP/r7bBz8MA7zzdUjUWRWnkficGW7wofldcQ==" saltValue="wlV89M15paAbBI9Lscgl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Y6MUIpcX7xFaFB5+/HdUe0N2FrFIV1GkEr6bOFZfOtAwUjcgkN/VMzjNBgd9qExxKafnhPK7nczesSJlzhOWA==" saltValue="TzN85uesfbl0Ozfcp11e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40xvn9m/q8LM1t4ZlnY0k94yULh4awOuXROShgvGxKg/e+dDAMRp/xv2QkWnMb/vxM2qIkVVf8PAZc+18k4xA==" saltValue="Vb60g2gC9A3Kg5CnGTGy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EIVISSA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0.30987951807228914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0.21911790857973495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xdv8r0VGLAL/hXoBMk4uKldqTGMKAQwLLA/EUR4iVV4uNgdt7r6K2yFhnD8pDjFS24kFe9x20zWsX7I+M+GfQ==" saltValue="HLls/yMEEQzSRoAJMsLv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24RD4/bORvwWKDqV5TpwjNXOyiyVC8B+JXrCTw2GcrPCl9nEQLQqKJv7kQgtc3Yu7ukJxOb2HU1xrOAAzwdlA==" saltValue="p0fKWiRbw9NfzPV2EQH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EIVISSA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5107</v>
      </c>
      <c r="D9" s="452">
        <f>IF(ISNUMBER(C9/Datos!BH9),C9/Datos!BH9," - ")</f>
        <v>1021.4</v>
      </c>
      <c r="E9" s="451">
        <f>IF(ISNUMBER(IF(J_V="SI",Datos!J9,Datos!J9+Datos!Z9)),IF(J_V="SI",Datos!J9,Datos!J9+Datos!Z9)," - ")</f>
        <v>2509</v>
      </c>
      <c r="F9" s="452">
        <f>IF(ISNUMBER(E9/B9),E9/B9," - ")</f>
        <v>501.8</v>
      </c>
      <c r="G9" s="451">
        <f>IF(ISNUMBER(IF(J_V="SI",Datos!K9,Datos!K9+Datos!AA9)),IF(J_V="SI",Datos!K9,Datos!K9+Datos!AA9)," - ")</f>
        <v>2048</v>
      </c>
      <c r="H9" s="452">
        <f>IF(ISNUMBER(G9/B9),G9/B9," - ")</f>
        <v>409.6</v>
      </c>
      <c r="I9" s="451">
        <f>IF(ISNUMBER(IF(J_V="SI",Datos!L9,Datos!L9+Datos!AB9)),IF(J_V="SI",Datos!L9,Datos!L9+Datos!AB9)," - ")</f>
        <v>5568</v>
      </c>
      <c r="J9" s="452">
        <f>IF(ISNUMBER(I9/B9),I9/B9," - ")</f>
        <v>1113.5999999999999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107</v>
      </c>
      <c r="D10" s="452">
        <f>IF(ISNUMBER(C10/Datos!BH10),C10/Datos!BH10," - ")</f>
        <v>107</v>
      </c>
      <c r="E10" s="451">
        <f>IF(ISNUMBER(Datos!J10),Datos!J10," - ")</f>
        <v>35</v>
      </c>
      <c r="F10" s="452">
        <f>IF(ISNUMBER(E10/B10),E10/B10," - ")</f>
        <v>35</v>
      </c>
      <c r="G10" s="451">
        <f>IF(ISNUMBER(Datos!K10),Datos!K10," - ")</f>
        <v>27</v>
      </c>
      <c r="H10" s="452">
        <f>IF(ISNUMBER(G10/B10),G10/B10," - ")</f>
        <v>27</v>
      </c>
      <c r="I10" s="451">
        <f>IF(ISNUMBER(Datos!L10),Datos!L10," - ")</f>
        <v>115</v>
      </c>
      <c r="J10" s="452">
        <f>IF(ISNUMBER(I10/B10),I10/B10," - ")</f>
        <v>115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5214</v>
      </c>
      <c r="D14" s="1147" t="str">
        <f>IF(ISNUMBER(C14/Datos!BI14),C14/Datos!BI14," - ")</f>
        <v xml:space="preserve"> - </v>
      </c>
      <c r="E14" s="1146">
        <f>SUBTOTAL(9,E8:E13)</f>
        <v>2544</v>
      </c>
      <c r="F14" s="1147">
        <f>IF(ISNUMBER(E14/B14),E14/B14," - ")</f>
        <v>424</v>
      </c>
      <c r="G14" s="1146">
        <f>SUBTOTAL(9,G8:G13)</f>
        <v>2075</v>
      </c>
      <c r="H14" s="1147">
        <f>IF(ISNUMBER(G14/B14),G14/B14," - ")</f>
        <v>345.83333333333331</v>
      </c>
      <c r="I14" s="1146">
        <f>SUBTOTAL(9,I8:I13)</f>
        <v>5683</v>
      </c>
      <c r="J14" s="1147">
        <f>IF(ISNUMBER(I14/B14),I14/B14," - ")</f>
        <v>947.16666666666663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4591</v>
      </c>
      <c r="D16" s="452">
        <f>IF(ISNUMBER(C16/Datos!BH16),C16/Datos!BH16," - ")</f>
        <v>1147.75</v>
      </c>
      <c r="E16" s="451">
        <f>IF(ISNUMBER(IF(D_I="SI",Datos!J16,Datos!J16+Datos!AD16)),IF(D_I="SI",Datos!J16,Datos!J16+Datos!AD16)," - ")</f>
        <v>2601</v>
      </c>
      <c r="F16" s="452">
        <f>IF(ISNUMBER(E16/B16),E16/B16," - ")</f>
        <v>650.25</v>
      </c>
      <c r="G16" s="451">
        <f>IF(ISNUMBER(IF(D_I="SI",Datos!K16,Datos!K16+Datos!AE16)),IF(D_I="SI",Datos!K16,Datos!K16+Datos!AE16)," - ")</f>
        <v>2835</v>
      </c>
      <c r="H16" s="452">
        <f>IF(ISNUMBER(G16/B16),G16/B16," - ")</f>
        <v>708.75</v>
      </c>
      <c r="I16" s="451">
        <f>IF(ISNUMBER(IF(D_I="SI",Datos!L16,Datos!L16+Datos!AF16)),IF(D_I="SI",Datos!L16,Datos!L16+Datos!AF16)," - ")</f>
        <v>4153</v>
      </c>
      <c r="J16" s="452">
        <f>IF(ISNUMBER(I16/B16),I16/B16," - ")</f>
        <v>1038.25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289</v>
      </c>
      <c r="D18" s="452">
        <f>IF(ISNUMBER(C18/Datos!BH18),C18/Datos!BH18," - ")</f>
        <v>289</v>
      </c>
      <c r="E18" s="451">
        <f>IF(ISNUMBER(IF(D_I="SI",Datos!J18,Datos!J18+Datos!AD18)),IF(D_I="SI",Datos!J18,Datos!J18+Datos!AD18)," - ")</f>
        <v>306</v>
      </c>
      <c r="F18" s="452">
        <f>IF(ISNUMBER(E18/B18),E18/B18," - ")</f>
        <v>306</v>
      </c>
      <c r="G18" s="451">
        <f>IF(ISNUMBER(IF(D_I="SI",Datos!K18,Datos!K18+Datos!AE18)),IF(D_I="SI",Datos!K18,Datos!K18+Datos!AE18)," - ")</f>
        <v>284</v>
      </c>
      <c r="H18" s="452">
        <f>IF(ISNUMBER(G18/B18),G18/B18," - ")</f>
        <v>284</v>
      </c>
      <c r="I18" s="451">
        <f>IF(ISNUMBER(IF(D_I="SI",Datos!L18,Datos!L18+Datos!AF18)),IF(D_I="SI",Datos!L18,Datos!L18+Datos!AF18)," - ")</f>
        <v>311</v>
      </c>
      <c r="J18" s="452">
        <f>IF(ISNUMBER(I18/B18),I18/B18," - ")</f>
        <v>311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4880</v>
      </c>
      <c r="D23" s="1147" t="str">
        <f>IF(ISNUMBER(C23/Datos!BI23),C23/Datos!BI23," - ")</f>
        <v xml:space="preserve"> - </v>
      </c>
      <c r="E23" s="1146">
        <f>SUBTOTAL(9,E15:E22)</f>
        <v>2907</v>
      </c>
      <c r="F23" s="1147">
        <f>IF(ISNUMBER(E23/B23),E23/B23," - ")</f>
        <v>581.4</v>
      </c>
      <c r="G23" s="1146">
        <f>SUBTOTAL(9,G15:G22)</f>
        <v>3119</v>
      </c>
      <c r="H23" s="1147">
        <f>IF(ISNUMBER(G23/B23),G23/B23," - ")</f>
        <v>623.79999999999995</v>
      </c>
      <c r="I23" s="1146">
        <f>SUBTOTAL(9,I15:I22)</f>
        <v>4464</v>
      </c>
      <c r="J23" s="1147">
        <f>IF(ISNUMBER(I23/B23),I23/B23," - ")</f>
        <v>892.8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10094</v>
      </c>
      <c r="D31" s="1085" t="str">
        <f>IF(ISNUMBER(C31/Datos!BI31),C31/Datos!BI31," - ")</f>
        <v xml:space="preserve"> - </v>
      </c>
      <c r="E31" s="1084">
        <f>SUBTOTAL(9,E9:E30)</f>
        <v>5451</v>
      </c>
      <c r="F31" s="1085">
        <f>IF(ISNUMBER(E31/B31),E31/B31," - ")</f>
        <v>545.1</v>
      </c>
      <c r="G31" s="1084">
        <f>SUBTOTAL(9,G9:G30)</f>
        <v>5194</v>
      </c>
      <c r="H31" s="1085">
        <f>IF(ISNUMBER(G31/B31),G31/B31," - ")</f>
        <v>519.4</v>
      </c>
      <c r="I31" s="1084">
        <f>SUBTOTAL(9,I9:I30)</f>
        <v>10147</v>
      </c>
      <c r="J31" s="1085">
        <f>IF(ISNUMBER(I31/B31),I31/B31," - ")</f>
        <v>1014.7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Zna2aYxOAUVb0mYqui2ShwmjB0aIRxGfN8Iij2F5UrTYvba1bt/hyg7IiCzOAq5K19cTQ+nMZNiRT6J419m1g==" saltValue="uhPawBOFwl1Y18KBxZHp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EIVISSA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107</v>
      </c>
      <c r="G10" s="906">
        <f>IF(ISNUMBER(Datos!I10),Datos!I10," - ")</f>
        <v>107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115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12.777777777777779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107</v>
      </c>
      <c r="G14" s="1256">
        <f t="shared" si="0"/>
        <v>107</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0</v>
      </c>
      <c r="AE14" s="1257">
        <f t="shared" si="1"/>
        <v>0</v>
      </c>
      <c r="AF14" s="1257">
        <f t="shared" si="1"/>
        <v>115</v>
      </c>
      <c r="AG14" s="1257">
        <f t="shared" si="1"/>
        <v>0</v>
      </c>
      <c r="AH14" s="1257">
        <f t="shared" si="1"/>
        <v>0</v>
      </c>
      <c r="AI14" s="1257">
        <f t="shared" si="1"/>
        <v>0</v>
      </c>
      <c r="AJ14" s="1257">
        <f t="shared" si="1"/>
        <v>0</v>
      </c>
      <c r="AK14" s="1257">
        <f t="shared" si="1"/>
        <v>0</v>
      </c>
      <c r="AL14" s="1257">
        <f t="shared" si="1"/>
        <v>17</v>
      </c>
      <c r="AM14" s="1257">
        <f t="shared" si="1"/>
        <v>10</v>
      </c>
      <c r="AN14" s="1257">
        <f t="shared" si="1"/>
        <v>0</v>
      </c>
      <c r="AO14" s="1257">
        <f t="shared" si="1"/>
        <v>0</v>
      </c>
      <c r="AP14" s="1262">
        <f>IF(ISNUMBER(((Datos!L14/Datos!K14)*11)/factor_trimestre),((Datos!L14/Datos!K14)*11)/factor_trimestre," - ")</f>
        <v>8.5743243243243246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-0.25233644859813081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4.2936838730362297</v>
      </c>
      <c r="AQ23" s="1262">
        <f>IF(ISNUMBER(((Datos!M23/Datos!L23)*11)/factor_trimestre),((Datos!M23/Datos!L23)*11)/factor_trimestre," - ")</f>
        <v>0.290994623655914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-7.2992700729927001E-2</v>
      </c>
      <c r="AW23" s="1265">
        <f>IF(ISNUMBER((Datos!Q23-Datos!R23)/(Datos!S23-Datos!Q23+Datos!R23)),(Datos!Q23-Datos!R23)/(Datos!S23-Datos!Q23+Datos!R23)," - ")</f>
        <v>-3.3176182992840926E-2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107</v>
      </c>
      <c r="G31" s="1278">
        <f t="shared" si="8"/>
        <v>107</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0</v>
      </c>
      <c r="AE31" s="1284">
        <f t="shared" si="9"/>
        <v>0</v>
      </c>
      <c r="AF31" s="1285">
        <f t="shared" si="9"/>
        <v>115</v>
      </c>
      <c r="AG31" s="1285">
        <f t="shared" si="9"/>
        <v>0</v>
      </c>
      <c r="AH31" s="1285">
        <f t="shared" si="9"/>
        <v>0</v>
      </c>
      <c r="AI31" s="1285">
        <f t="shared" si="9"/>
        <v>0</v>
      </c>
      <c r="AJ31" s="1286">
        <f t="shared" si="9"/>
        <v>0</v>
      </c>
      <c r="AK31" s="1286">
        <f t="shared" si="9"/>
        <v>0</v>
      </c>
      <c r="AL31" s="1278">
        <f t="shared" si="9"/>
        <v>17</v>
      </c>
      <c r="AM31" s="1278">
        <f t="shared" si="9"/>
        <v>10</v>
      </c>
      <c r="AN31" s="1278">
        <f t="shared" si="9"/>
        <v>0</v>
      </c>
      <c r="AO31" s="1278">
        <f t="shared" si="9"/>
        <v>0</v>
      </c>
      <c r="AP31" s="1278">
        <f>IF(ISNUMBER(((Datos!L31/Datos!K31)*11)/factor_trimestre),((Datos!L31/Datos!K31)*11)/factor_trimestre," - ")</f>
        <v>5.9268292682926829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-0.25233644859813081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9.8468271334792128E-3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58.606313653052773</v>
      </c>
      <c r="G33" s="1007">
        <f>IF(ISNUMBER(STDEV(G8:G30)),STDEV(G8:G30),"-")</f>
        <v>58.606313653052773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4.2421054715991087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AAIZa9Hd3/qcETd9izSADp9mc+rNdQkzTxO+0/joSE8tRrHYyFodQgAxbZRmwALEuRtGdy99QgtjSI207C4xQ==" saltValue="RqjZyNQV+ZK/nMIcaPGC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EIVISSA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Qlq4Jn5D1XIbV+BrJ+gP9W+IFlUxp6RdMjq6hJDzwr2H33OqxGQgd5Spggq7fGKPVY60fHeOwjBY4hcLo99Eg==" saltValue="axVv0qRZWkkn1yTeqGyf7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EIVISSA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626</v>
      </c>
      <c r="E9" s="452">
        <f t="shared" ref="E9:E14" si="0">IF(ISNUMBER(D9/B9),D9/B9," - ")</f>
        <v>125.2</v>
      </c>
      <c r="F9" s="451">
        <f>IF(ISNUMBER(Datos!N9),Datos!N9," - ")</f>
        <v>546</v>
      </c>
      <c r="G9" s="452">
        <f t="shared" ref="G9:G14" si="1">IF(ISNUMBER(F9/B9),F9/B9," - ")</f>
        <v>109.2</v>
      </c>
      <c r="H9" s="451">
        <f>IF(ISNUMBER(Datos!O9),Datos!O9," - ")</f>
        <v>566</v>
      </c>
      <c r="I9" s="452">
        <f>IF(ISNUMBER(H9/B9),H9/B9," - ")</f>
        <v>113.2</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10</v>
      </c>
      <c r="G10" s="452">
        <f>IF(ISNUMBER(F10/B10),F10/B10," - ")</f>
        <v>10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643</v>
      </c>
      <c r="E14" s="1147">
        <f t="shared" si="0"/>
        <v>107.16666666666667</v>
      </c>
      <c r="F14" s="1146">
        <f>SUBTOTAL(9,F9:F13)</f>
        <v>556</v>
      </c>
      <c r="G14" s="1147">
        <f t="shared" si="1"/>
        <v>92.666666666666671</v>
      </c>
      <c r="H14" s="1146">
        <f>SUBTOTAL(9,H9:H13)</f>
        <v>570</v>
      </c>
      <c r="I14" s="1147">
        <f>IF(ISNUMBER(H14/B14),H14/B14," - ")</f>
        <v>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382</v>
      </c>
      <c r="E16" s="452">
        <f t="shared" ref="E16:E23" si="3">IF(ISNUMBER(D16/B16),D16/B16," - ")</f>
        <v>95.5</v>
      </c>
      <c r="F16" s="451">
        <f>IF(ISNUMBER(Datos!N16),Datos!N16," - ")</f>
        <v>1956</v>
      </c>
      <c r="G16" s="452">
        <f t="shared" ref="G16:G23" si="4">IF(ISNUMBER(F16/B16),F16/B16," - ")</f>
        <v>489</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133</v>
      </c>
      <c r="G18" s="452">
        <f>IF(ISNUMBER(F18/B18),F18/B18," - ")</f>
        <v>133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433</v>
      </c>
      <c r="E23" s="1147">
        <f t="shared" si="3"/>
        <v>86.6</v>
      </c>
      <c r="F23" s="1146">
        <f>SUBTOTAL(9,F16:F22)</f>
        <v>2089</v>
      </c>
      <c r="G23" s="1147">
        <f t="shared" si="4"/>
        <v>417.8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1076</v>
      </c>
      <c r="E31" s="1085">
        <f>IF(ISNUMBER(D31/B31),D31/B31," - ")</f>
        <v>107.6</v>
      </c>
      <c r="F31" s="1084">
        <f>SUBTOTAL(9,F8:F30)</f>
        <v>2645</v>
      </c>
      <c r="G31" s="1085">
        <f>IF(ISNUMBER(F31/B31),F31/B31," - ")</f>
        <v>264.5</v>
      </c>
      <c r="H31" s="1084">
        <f>SUBTOTAL(9,H8:H30)</f>
        <v>570</v>
      </c>
      <c r="I31" s="1085">
        <f>IF(ISNUMBER(H31/B31),H31/B31," - ")</f>
        <v>57</v>
      </c>
    </row>
    <row r="34" spans="1:1">
      <c r="A34" s="439" t="str">
        <f>Criterios!A4</f>
        <v>Fecha Informe: 06 may. 2023</v>
      </c>
    </row>
    <row r="39" spans="1:1">
      <c r="A39" s="462"/>
    </row>
  </sheetData>
  <sheetProtection algorithmName="SHA-512" hashValue="qWkNWu5hV/h3myO0wP4C2Wq8UZwb/I+H+vz+jrzPrWi/NiZeniMCb5nKtdLdWg3n2kBJh1kUddvNwWsZDlIBHQ==" saltValue="4Hz/FQFRL7FsMBCcDvK4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EIVISSA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405</v>
      </c>
      <c r="C9" s="489">
        <f>IF(ISNUMBER(Datos!Q9),Datos!Q9," - ")</f>
        <v>319</v>
      </c>
      <c r="D9" s="456">
        <f>IF(ISNUMBER(Datos!R9),Datos!R9," - ")</f>
        <v>6184</v>
      </c>
    </row>
    <row r="10" spans="1:4">
      <c r="A10" s="450" t="str">
        <f>Datos!A10</f>
        <v>Jdos. Violencia contra la mujer</v>
      </c>
      <c r="B10" s="488">
        <f>IF(ISNUMBER(Datos!P10),Datos!P10," - ")</f>
        <v>3</v>
      </c>
      <c r="C10" s="489">
        <f>IF(ISNUMBER(Datos!Q10),Datos!Q10," - ")</f>
        <v>6</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408</v>
      </c>
      <c r="C14" s="1150">
        <f>SUBTOTAL(9,C9:C13)</f>
        <v>325</v>
      </c>
      <c r="D14" s="1148">
        <f>SUBTOTAL(9,D9:D13)</f>
        <v>6207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43</v>
      </c>
      <c r="C16" s="489">
        <f>IF(ISNUMBER(Datos!Q16),Datos!Q16," - ")</f>
        <v>64</v>
      </c>
      <c r="D16" s="456">
        <f>IF(ISNUMBER(Datos!R16),Datos!R16," - ")</f>
        <v>247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64</v>
      </c>
      <c r="D23" s="1148">
        <f>SUBTOTAL(9,D16:D22)</f>
        <v>254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452</v>
      </c>
      <c r="C31" s="1089">
        <f>SUBTOTAL(9,C8:C30)</f>
        <v>389</v>
      </c>
      <c r="D31" s="1090">
        <f>SUBTOTAL(9,D8:D30)</f>
        <v>6461</v>
      </c>
    </row>
    <row r="32" spans="1:4" ht="7.5" customHeight="1"/>
    <row r="33" spans="1:1" ht="6" customHeight="1"/>
    <row r="34" spans="1:1">
      <c r="A34" s="439" t="str">
        <f>Criterios!A4</f>
        <v>Fecha Informe: 06 may. 2023</v>
      </c>
    </row>
    <row r="39" spans="1:1">
      <c r="A39" s="462"/>
    </row>
  </sheetData>
  <sheetProtection algorithmName="SHA-512" hashValue="o0ZEG4gywuOd4iM7jFa8ueYRl3qBNpMK9nSmgK6LARvpKdCCfm+L/6fQp+ANVFyknM6SyB2FGk5LQSq9E6ADKw==" saltValue="utpB59e0tee6i9VZYSeB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EIVISSA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-0.11963454576797104</v>
      </c>
      <c r="C9" s="515">
        <f>IF(ISNUMBER(
   IF(J_V="SI",(Datos!J9-Datos!T9)/Datos!T9,(Datos!J9+Datos!Z9-(Datos!T9+Datos!AH9))/(Datos!T9+Datos!AH9))
     ),IF(J_V="SI",(Datos!J9-Datos!T9)/Datos!T9,(Datos!J9+Datos!Z9-(Datos!T9+Datos!AH9))/(Datos!T9+Datos!AH9))," - ")</f>
        <v>0.27619532044760936</v>
      </c>
      <c r="D9" s="515">
        <f>IF(ISNUMBER(
   IF(J_V="SI",(Datos!K9-Datos!U9)/Datos!U9,(Datos!K9+Datos!AA9-(Datos!U9+Datos!AI9))/(Datos!U9+Datos!AI9))
     ),IF(J_V="SI",(Datos!K9-Datos!U9)/Datos!U9,(Datos!K9+Datos!AA9-(Datos!U9+Datos!AI9))/(Datos!U9+Datos!AI9))," - ")</f>
        <v>-0.10214818062253397</v>
      </c>
      <c r="E9" s="515">
        <f>IF(ISNUMBER(
   IF(J_V="SI",(Datos!L9-Datos!V9)/Datos!V9,(Datos!L9+Datos!AB9-(Datos!V9+Datos!AJ9))/(Datos!V9+Datos!AJ9))
     ),IF(J_V="SI",(Datos!L9-Datos!V9)/Datos!V9,(Datos!L9+Datos!AB9-(Datos!V9+Datos!AJ9))/(Datos!V9+Datos!AJ9))," - ")</f>
        <v>1.4762165117550574E-2</v>
      </c>
      <c r="F9" s="515">
        <f>IF(ISNUMBER((Datos!M9-Datos!W9)/Datos!W9),(Datos!M9-Datos!W9)/Datos!W9," - ")</f>
        <v>0.41950113378684806</v>
      </c>
      <c r="G9" s="516">
        <f>IF(ISNUMBER((Datos!N9-Datos!X9)/Datos!X9),(Datos!N9-Datos!X9)/Datos!X9," - ")</f>
        <v>-0.09</v>
      </c>
      <c r="H9" s="514">
        <f>IF(ISNUMBER(((NºAsuntos!G9/NºAsuntos!E9)-Datos!BD9)/Datos!BD9),((NºAsuntos!G9/NºAsuntos!E9)-Datos!BD9)/Datos!BD9," - ")</f>
        <v>-0.29646206580466383</v>
      </c>
      <c r="I9" s="515">
        <f>IF(ISNUMBER(((NºAsuntos!I9/NºAsuntos!G9)-Datos!BE9)/Datos!BE9),((NºAsuntos!I9/NºAsuntos!G9)-Datos!BE9)/Datos!BE9," - ")</f>
        <v>0.13021118097320936</v>
      </c>
      <c r="J9" s="521">
        <f>IF(ISNUMBER((('Resol  Asuntos'!D9/NºAsuntos!G9)-Datos!BF9)/Datos!BF9),(('Resol  Asuntos'!D9/NºAsuntos!G9)-Datos!BF9)/Datos!BF9," - ")</f>
        <v>0.16203287760416663</v>
      </c>
      <c r="K9" s="522">
        <f>IF(ISNUMBER((((NºAsuntos!C9+NºAsuntos!E9)/NºAsuntos!G9)-Datos!BG9)/Datos!BG9),(((NºAsuntos!C9+NºAsuntos!E9)/NºAsuntos!G9)-Datos!BG9)/Datos!BG9," - ")</f>
        <v>9.2116486416892032E-2</v>
      </c>
    </row>
    <row r="10" spans="1:11">
      <c r="A10" s="450" t="str">
        <f>Datos!A10</f>
        <v>Jdos. Violencia contra la mujer</v>
      </c>
      <c r="B10" s="514">
        <f>IF(ISNUMBER((Datos!I10-Datos!S10)/Datos!S10),(Datos!I10-Datos!S10)/Datos!S10," - ")</f>
        <v>0.55072463768115942</v>
      </c>
      <c r="C10" s="515">
        <f>IF(ISNUMBER((Datos!J10-Datos!T10)/Datos!T10),(Datos!J10-Datos!T10)/Datos!T10," - ")</f>
        <v>0.25</v>
      </c>
      <c r="D10" s="515">
        <f>IF(ISNUMBER((Datos!K10-Datos!U10)/Datos!U10),(Datos!K10-Datos!U10)/Datos!U10," - ")</f>
        <v>0.22727272727272727</v>
      </c>
      <c r="E10" s="515">
        <f>IF(ISNUMBER((Datos!L10-Datos!V10)/Datos!V10),(Datos!L10-Datos!V10)/Datos!V10," - ")</f>
        <v>0.53333333333333333</v>
      </c>
      <c r="F10" s="515">
        <f>IF(ISNUMBER((Datos!M10-Datos!W10)/Datos!W10),(Datos!M10-Datos!W10)/Datos!W10," - ")</f>
        <v>0.7</v>
      </c>
      <c r="G10" s="516">
        <f>IF(ISNUMBER((Datos!N10-Datos!X10)/Datos!X10),(Datos!N10-Datos!X10)/Datos!X10," - ")</f>
        <v>0</v>
      </c>
      <c r="H10" s="514">
        <f>IF(ISNUMBER(((NºAsuntos!G10/NºAsuntos!E10)-Datos!BD10)/Datos!BD10),((NºAsuntos!G10/NºAsuntos!E10)-Datos!BD10)/Datos!BD10," - ")</f>
        <v>-1.8181818181818118E-2</v>
      </c>
      <c r="I10" s="515">
        <f>IF(ISNUMBER(((NºAsuntos!I10/NºAsuntos!G10)-Datos!BE10)/Datos!BE10),((NºAsuntos!I10/NºAsuntos!G10)-Datos!BE10)/Datos!BE10," - ")</f>
        <v>0.24938271604938275</v>
      </c>
      <c r="J10" s="521">
        <f>IF(ISNUMBER((('Resol  Asuntos'!D10/NºAsuntos!G10)-Datos!BF10)/Datos!BF10),(('Resol  Asuntos'!D10/NºAsuntos!G10)-Datos!BF10)/Datos!BF10," - ")</f>
        <v>0.3851851851851853</v>
      </c>
      <c r="K10" s="522">
        <f>IF(ISNUMBER((((NºAsuntos!C10+NºAsuntos!E10)/NºAsuntos!G10)-Datos!BG10)/Datos!BG10),(((NºAsuntos!C10+NºAsuntos!E10)/NºAsuntos!G10)-Datos!BG10)/Datos!BG10," - ")</f>
        <v>0.19282168766704852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-0.11175468483816013</v>
      </c>
      <c r="C14" s="1152">
        <f>IF(ISNUMBER(
   IF(J_V="SI",(Datos!J14-Datos!T14)/Datos!T14,(Datos!J14+Datos!Z14-(Datos!T14+Datos!AH14))/(Datos!T14+Datos!AH14))
     ),IF(J_V="SI",(Datos!J14-Datos!T14)/Datos!T14,(Datos!J14+Datos!Z14-(Datos!T14+Datos!AH14))/(Datos!T14+Datos!AH14))," - ")</f>
        <v>0.27582748244734201</v>
      </c>
      <c r="D14" s="1152">
        <f>IF(ISNUMBER(
   IF(J_V="SI",(Datos!K14-Datos!U14)/Datos!U14,(Datos!K14+Datos!AA14-(Datos!U14+Datos!AI14))/(Datos!U14+Datos!AI14))
     ),IF(J_V="SI",(Datos!K14-Datos!U14)/Datos!U14,(Datos!K14+Datos!AA14-(Datos!U14+Datos!AI14))/(Datos!U14+Datos!AI14))," - ")</f>
        <v>-9.9001302648719064E-2</v>
      </c>
      <c r="E14" s="1152">
        <f>IF(ISNUMBER(
   IF(J_V="SI",(Datos!L14-Datos!V14)/Datos!V14,(Datos!L14+Datos!AB14-(Datos!V14+Datos!AJ14))/(Datos!V14+Datos!AJ14))
     ),IF(J_V="SI",(Datos!L14-Datos!V14)/Datos!V14,(Datos!L14+Datos!AB14-(Datos!V14+Datos!AJ14))/(Datos!V14+Datos!AJ14))," - ")</f>
        <v>2.1754764473211074E-2</v>
      </c>
      <c r="F14" s="1153">
        <f>IF(ISNUMBER((Datos!M14-Datos!W14)/Datos!W14),(Datos!M14-Datos!W14)/Datos!W14," - ")</f>
        <v>0.42572062084257206</v>
      </c>
      <c r="G14" s="1154">
        <f>IF(ISNUMBER((Datos!N14-Datos!X14)/Datos!X14),(Datos!N14-Datos!X14)/Datos!X14," - ")</f>
        <v>-8.8524590163934422E-2</v>
      </c>
      <c r="H14" s="1154">
        <f>IF(ISNUMBER(((NºAsuntos!G14/NºAsuntos!E14)-Datos!BD14)/Datos!BD14),((NºAsuntos!G14/NºAsuntos!E14)-Datos!BD14)/Datos!BD14," - ")</f>
        <v>-0.29379268768928679</v>
      </c>
      <c r="I14" s="1154">
        <f>IF(ISNUMBER(((NºAsuntos!I14/NºAsuntos!G14)-Datos!BE14)/Datos!BE14),((NºAsuntos!I14/NºAsuntos!G14)-Datos!BE14)/Datos!BE14," - ")</f>
        <v>0.13402468558159272</v>
      </c>
      <c r="J14" s="1154">
        <f>IF(ISNUMBER((('Resol  Asuntos'!D14/NºAsuntos!G14)-Datos!BF14)/Datos!BF14),(('Resol  Asuntos'!D14/NºAsuntos!G14)-Datos!BF14)/Datos!BF14," - ")</f>
        <v>0.16992218052538008</v>
      </c>
      <c r="K14" s="1154">
        <f>IF(ISNUMBER((((NºAsuntos!C14+NºAsuntos!E14)/NºAsuntos!G14)-Datos!BG14)/Datos!BG14),(((NºAsuntos!C14+NºAsuntos!E14)/NºAsuntos!G14)-Datos!BG14)/Datos!BG14," - ")</f>
        <v>9.491929059064326E-2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-0.11779400461183705</v>
      </c>
      <c r="C16" s="515">
        <f>IF(ISNUMBER(
   IF(D_I="SI",(Datos!J16-Datos!T16)/Datos!T16,(Datos!J16+Datos!AD16-(Datos!T16+Datos!AL16))/(Datos!T16+Datos!AL16))
     ),IF(D_I="SI",(Datos!J16-Datos!T16)/Datos!T16,(Datos!J16+Datos!AD16-(Datos!T16+Datos!AL16))/(Datos!T16+Datos!AL16))," - ")</f>
        <v>0.28507905138339923</v>
      </c>
      <c r="D16" s="515">
        <f>IF(ISNUMBER(
   IF(D_I="SI",(Datos!K16-Datos!U16)/Datos!U16,(Datos!K16+Datos!AE16-(Datos!U16+Datos!AM16))/(Datos!U16+Datos!AM16))
     ),IF(D_I="SI",(Datos!K16-Datos!U16)/Datos!U16,(Datos!K16+Datos!AE16-(Datos!U16+Datos!AM16))/(Datos!U16+Datos!AM16))," - ")</f>
        <v>0.23207301173402869</v>
      </c>
      <c r="E16" s="515">
        <f>IF(ISNUMBER(
   IF(D_I="SI",(Datos!L16-Datos!V16)/Datos!V16,(Datos!L16+Datos!AF16-(Datos!V16+Datos!AN16))/(Datos!V16+Datos!AN16))
     ),IF(D_I="SI",(Datos!L16-Datos!V16)/Datos!V16,(Datos!L16+Datos!AF16-(Datos!V16+Datos!AN16))/(Datos!V16+Datos!AN16))," - ")</f>
        <v>-0.17188434695912264</v>
      </c>
      <c r="F16" s="515">
        <f>IF(ISNUMBER((Datos!M16-Datos!W16)/Datos!W16),(Datos!M16-Datos!W16)/Datos!W16," - ")</f>
        <v>-1.2919896640826873E-2</v>
      </c>
      <c r="G16" s="516">
        <f>IF(ISNUMBER((Datos!N16-Datos!X16)/Datos!X16),(Datos!N16-Datos!X16)/Datos!X16," - ")</f>
        <v>0.52574102964118563</v>
      </c>
      <c r="H16" s="514">
        <f>IF(ISNUMBER(((NºAsuntos!G16/NºAsuntos!E16)-Datos!BD16)/Datos!BD16),((NºAsuntos!G16/NºAsuntos!E16)-Datos!BD16)/Datos!BD16," - ")</f>
        <v>-4.1247298827499307E-2</v>
      </c>
      <c r="I16" s="515">
        <f>IF(ISNUMBER(((NºAsuntos!I16/NºAsuntos!G16)-Datos!BE16)/Datos!BE16),((NºAsuntos!I16/NºAsuntos!G16)-Datos!BE16)/Datos!BE16," - ")</f>
        <v>-0.32786803610333021</v>
      </c>
      <c r="J16" s="521">
        <f>IF(ISNUMBER((('Resol  Asuntos'!D16/NºAsuntos!G16)-Datos!BF16)/Datos!BF16),(('Resol  Asuntos'!D16/NºAsuntos!G16)-Datos!BF16)/Datos!BF16," - ")</f>
        <v>-0.1988460960037188</v>
      </c>
      <c r="K16" s="522">
        <f>IF(ISNUMBER((((NºAsuntos!C16+NºAsuntos!E16)/NºAsuntos!G16)-Datos!BG16)/Datos!BG16),(((NºAsuntos!C16+NºAsuntos!E16)/NºAsuntos!G16)-Datos!BG16)/Datos!BG16," - ")</f>
        <v>-0.19240226866126137</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-0.13213213213213212</v>
      </c>
      <c r="C18" s="515">
        <f>IF(ISNUMBER(
   IF(D_I="SI",(Datos!J18-Datos!T18)/Datos!T18,(Datos!J18+Datos!AD18-(Datos!T18+Datos!AL18))/(Datos!T18+Datos!AL18))
     ),IF(D_I="SI",(Datos!J18-Datos!T18)/Datos!T18,(Datos!J18+Datos!AD18-(Datos!T18+Datos!AL18))/(Datos!T18+Datos!AL18))," - ")</f>
        <v>-0.11815561959654179</v>
      </c>
      <c r="D18" s="515">
        <f>IF(ISNUMBER(
   IF(D_I="SI",(Datos!K18-Datos!U18)/Datos!U18,(Datos!K18+Datos!AE18-(Datos!U18+Datos!AM18))/(Datos!U18+Datos!AM18))
     ),IF(D_I="SI",(Datos!K18-Datos!U18)/Datos!U18,(Datos!K18+Datos!AE18-(Datos!U18+Datos!AM18))/(Datos!U18+Datos!AM18))," - ")</f>
        <v>-0.24668435013262599</v>
      </c>
      <c r="E18" s="515">
        <f>IF(ISNUMBER(
   IF(D_I="SI",(Datos!L18-Datos!V18)/Datos!V18,(Datos!L18+Datos!AF18-(Datos!V18+Datos!AN18))/(Datos!V18+Datos!AN18))
     ),IF(D_I="SI",(Datos!L18-Datos!V18)/Datos!V18,(Datos!L18+Datos!AF18-(Datos!V18+Datos!AN18))/(Datos!V18+Datos!AN18))," - ")</f>
        <v>2.3026315789473683E-2</v>
      </c>
      <c r="F18" s="515">
        <f>IF(ISNUMBER((Datos!M18-Datos!W18)/Datos!W18),(Datos!M18-Datos!W18)/Datos!W18," - ")</f>
        <v>-5.5555555555555552E-2</v>
      </c>
      <c r="G18" s="516">
        <f>IF(ISNUMBER((Datos!N18-Datos!X18)/Datos!X18),(Datos!N18-Datos!X18)/Datos!X18," - ")</f>
        <v>-0.15286624203821655</v>
      </c>
      <c r="H18" s="514">
        <f>IF(ISNUMBER(((NºAsuntos!G18/NºAsuntos!E18)-Datos!BD18)/Datos!BD18),((NºAsuntos!G18/NºAsuntos!E18)-Datos!BD18)/Datos!BD18," - ")</f>
        <v>-0.14574990031379478</v>
      </c>
      <c r="I18" s="515">
        <f>IF(ISNUMBER(((NºAsuntos!I18/NºAsuntos!G18)-Datos!BE18)/Datos!BE18),((NºAsuntos!I18/NºAsuntos!G18)-Datos!BE18)/Datos!BE18," - ")</f>
        <v>0.35803141215715334</v>
      </c>
      <c r="J18" s="521">
        <f>IF(ISNUMBER((('Resol  Asuntos'!D18/NºAsuntos!G18)-Datos!BF18)/Datos!BF18),(('Resol  Asuntos'!D18/NºAsuntos!G18)-Datos!BF18)/Datos!BF18," - ")</f>
        <v>0.25371674491392798</v>
      </c>
      <c r="K18" s="522">
        <f>IF(ISNUMBER((((NºAsuntos!C18+NºAsuntos!E18)/NºAsuntos!G18)-Datos!BG18)/Datos!BG18),(((NºAsuntos!C18+NºAsuntos!E18)/NºAsuntos!G18)-Datos!BG18)/Datos!BG18," - ")</f>
        <v>0.16153169014084517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-0.11865631208235507</v>
      </c>
      <c r="C23" s="1152">
        <f>IF(ISNUMBER(
   IF(Criterios!B14="SI",(Datos!J23-Datos!T23)/Datos!T23,(Datos!J23+Datos!AD23-(Datos!T23+Datos!AL23))/(Datos!T23+Datos!AL23))
     ),IF(Criterios!B14="SI",(Datos!J23-Datos!T23)/Datos!T23,(Datos!J23+Datos!AD23-(Datos!T23+Datos!AL23))/(Datos!T23+Datos!AL23))," - ")</f>
        <v>0.22606495149725855</v>
      </c>
      <c r="D23" s="1152">
        <f>IF(ISNUMBER(
   IF(Criterios!B14="SI",(Datos!K23-Datos!U23)/Datos!U23,(Datos!K23+Datos!AE23-(Datos!U23+Datos!AM23))/(Datos!U23+Datos!AM23))
     ),IF(Criterios!B14="SI",(Datos!K23-Datos!U23)/Datos!U23,(Datos!K23+Datos!AE23-(Datos!U23+Datos!AM23))/(Datos!U23+Datos!AM23))," - ")</f>
        <v>0.16467513069454817</v>
      </c>
      <c r="E23" s="1152">
        <f>IF(ISNUMBER(
   IF(Criterios!B14="SI",(Datos!L23-Datos!V23)/Datos!V23,(Datos!L23+Datos!AF23-(Datos!V23+Datos!AN23))/(Datos!V23+Datos!AN23))
     ),IF(Criterios!B14="SI",(Datos!L23-Datos!V23)/Datos!V23,(Datos!L23+Datos!AF23-(Datos!V23+Datos!AN23))/(Datos!V23+Datos!AN23))," - ")</f>
        <v>-0.16074450084602368</v>
      </c>
      <c r="F23" s="1153">
        <f>IF(ISNUMBER((Datos!M23-Datos!W23)/Datos!W23),(Datos!M23-Datos!W23)/Datos!W23," - ")</f>
        <v>-1.8140589569160998E-2</v>
      </c>
      <c r="G23" s="1154">
        <f>IF(ISNUMBER((Datos!N23-Datos!X23)/Datos!X23),(Datos!N23-Datos!X23)/Datos!X23," - ")</f>
        <v>0.45170257123002083</v>
      </c>
      <c r="H23" s="1154">
        <f>IF(ISNUMBER(((NºAsuntos!G23/NºAsuntos!E23)-Datos!BD23)/Datos!BD23),((NºAsuntos!G23/NºAsuntos!E23)-Datos!BD23)/Datos!BD23," - ")</f>
        <v>-5.0070610637504891E-2</v>
      </c>
      <c r="I23" s="1154">
        <f>IF(ISNUMBER(((NºAsuntos!I23/NºAsuntos!G23)-Datos!BE23)/Datos!BE23),((NºAsuntos!I23/NºAsuntos!G23)-Datos!BE23)/Datos!BE23," - ")</f>
        <v>-0.27940807094121556</v>
      </c>
      <c r="J23" s="1154">
        <f>IF(ISNUMBER((('Resol  Asuntos'!D23/NºAsuntos!G23)-Datos!BF23)/Datos!BF23),(('Resol  Asuntos'!D23/NºAsuntos!G23)-Datos!BF23)/Datos!BF23," - ")</f>
        <v>-0.15696713653934369</v>
      </c>
      <c r="K23" s="1154">
        <f>IF(ISNUMBER((((NºAsuntos!C23+NºAsuntos!E23)/NºAsuntos!G23)-Datos!BG23)/Datos!BG23),(((NºAsuntos!C23+NºAsuntos!E23)/NºAsuntos!G23)-Datos!BG23)/Datos!BG23," - ")</f>
        <v>-0.15452900727717905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-0.11510476023494345</v>
      </c>
      <c r="C31" s="1092">
        <f>IF(ISNUMBER(
   IF(J_V="SI",(Datos!J31-Datos!T31)/Datos!T31,(Datos!J31+Datos!Z31-(Datos!T31+Datos!AH31))/(Datos!T31+Datos!AH31))
     ),IF(J_V="SI",(Datos!J31-Datos!T31)/Datos!T31,(Datos!J31+Datos!Z31-(Datos!T31+Datos!AH31))/(Datos!T31+Datos!AH31))," - ")</f>
        <v>0.24879725085910653</v>
      </c>
      <c r="D31" s="1092">
        <f>IF(ISNUMBER(
   IF(J_V="SI",(Datos!K31-Datos!U31)/Datos!U31,(Datos!K31+Datos!AA31-(Datos!U31+Datos!AI31))/(Datos!U31+Datos!AI31))
     ),IF(J_V="SI",(Datos!K31-Datos!U31)/Datos!U31,(Datos!K31+Datos!AA31-(Datos!U31+Datos!AI31))/(Datos!U31+Datos!AI31))," - ")</f>
        <v>4.2762497490463763E-2</v>
      </c>
      <c r="E31" s="1092">
        <f>IF(ISNUMBER(
   IF(J_V="SI",(Datos!L31-Datos!V31)/Datos!V31,(Datos!L31+Datos!AB31-(Datos!V31+Datos!AJ31))/(Datos!V31+Datos!AJ31))
     ),IF(J_V="SI",(Datos!L31-Datos!V31)/Datos!V31,(Datos!L31+Datos!AB31-(Datos!V31+Datos!AJ31))/(Datos!V31+Datos!AJ31))," - ")</f>
        <v>-6.7457035198970686E-2</v>
      </c>
      <c r="F31" s="1093">
        <f>IF(ISNUMBER((Datos!M31-Datos!W31)/Datos!W31),(Datos!M31-Datos!W31)/Datos!W31," - ")</f>
        <v>0.20627802690582961</v>
      </c>
      <c r="G31" s="1094">
        <f>IF(ISNUMBER((Datos!N31-Datos!X31)/Datos!X31),(Datos!N31-Datos!X31)/Datos!X31," - ")</f>
        <v>0.29087359687652514</v>
      </c>
      <c r="H31" s="1095">
        <f>IF(ISNUMBER((Tasas!B31-Datos!BD31)/Datos!BD31),(Tasas!B31-Datos!BD31)/Datos!BD31," - ")</f>
        <v>-0.16498655264247392</v>
      </c>
      <c r="I31" s="1096">
        <f>IF(ISNUMBER((Tasas!C31-Datos!BE31)/Datos!BE31),(Tasas!C31-Datos!BE31)/Datos!BE31," - ")</f>
        <v>-0.10569955570390327</v>
      </c>
      <c r="J31" s="1097">
        <f>IF(ISNUMBER((Tasas!D31-Datos!BF31)/Datos!BF31),(Tasas!D31-Datos!BF31)/Datos!BF31," - ")</f>
        <v>-1.8197459045733479E-2</v>
      </c>
      <c r="K31" s="1097">
        <f>IF(ISNUMBER((Tasas!E31-Datos!BG31)/Datos!BG31),(Tasas!E31-Datos!BG31)/Datos!BG31," - ")</f>
        <v>-5.4811227004451429E-2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IqBtlFrVGWuQqxGM0yvi6BYbz+EzTH498g5dkTAB+ZQgZLat8ZCq9uNh+Vt3JjcZlN7oocPnUQ9ndvF5fkI/g==" saltValue="8VxvQstpct7pWDejy21K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EIVISSA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0.81626145874850542</v>
      </c>
      <c r="C9" s="498">
        <f>IF(ISNUMBER(NºAsuntos!I9/NºAsuntos!G9),NºAsuntos!I9/NºAsuntos!G9," - ")</f>
        <v>2.71875</v>
      </c>
      <c r="D9" s="499">
        <f>IF(ISNUMBER('Resol  Asuntos'!D9/NºAsuntos!G9),'Resol  Asuntos'!D9/NºAsuntos!G9," - ")</f>
        <v>0.3056640625</v>
      </c>
      <c r="E9" s="500">
        <f>IF(ISNUMBER((NºAsuntos!C9+NºAsuntos!E9)/NºAsuntos!G9),(NºAsuntos!C9+NºAsuntos!E9)/NºAsuntos!G9," - ")</f>
        <v>3.71875</v>
      </c>
      <c r="G9" s="523"/>
    </row>
    <row r="10" spans="1:7">
      <c r="A10" s="450" t="str">
        <f>Datos!A10</f>
        <v>Jdos. Violencia contra la mujer</v>
      </c>
      <c r="B10" s="497">
        <f>IF(ISNUMBER(NºAsuntos!G10/NºAsuntos!E10),NºAsuntos!G10/NºAsuntos!E10," - ")</f>
        <v>0.77142857142857146</v>
      </c>
      <c r="C10" s="498">
        <f>IF(ISNUMBER(NºAsuntos!I10/NºAsuntos!G10),NºAsuntos!I10/NºAsuntos!G10," - ")</f>
        <v>4.2592592592592595</v>
      </c>
      <c r="D10" s="499">
        <f>IF(ISNUMBER('Resol  Asuntos'!D10/NºAsuntos!G10),'Resol  Asuntos'!D10/NºAsuntos!G10," - ")</f>
        <v>0.62962962962962965</v>
      </c>
      <c r="E10" s="500">
        <f>IF(ISNUMBER((NºAsuntos!C10+NºAsuntos!E10)/NºAsuntos!G10),(NºAsuntos!C10+NºAsuntos!E10)/NºAsuntos!G10," - ")</f>
        <v>5.2592592592592595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0.81564465408805031</v>
      </c>
      <c r="C14" s="1156">
        <f>IF(ISNUMBER(NºAsuntos!I14/NºAsuntos!G14),NºAsuntos!I14/NºAsuntos!G14," - ")</f>
        <v>2.7387951807228914</v>
      </c>
      <c r="D14" s="1157">
        <f>IF(ISNUMBER('Resol  Asuntos'!D14/NºAsuntos!G14),'Resol  Asuntos'!D14/NºAsuntos!G14," - ")</f>
        <v>0.30987951807228914</v>
      </c>
      <c r="E14" s="1158">
        <f>IF(ISNUMBER((NºAsuntos!C14+NºAsuntos!E14)/NºAsuntos!G14),(NºAsuntos!C14+NºAsuntos!E14)/NºAsuntos!G14," - ")</f>
        <v>3.7387951807228914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1.0899653979238755</v>
      </c>
      <c r="C16" s="498">
        <f>IF(ISNUMBER(NºAsuntos!I16/NºAsuntos!G16),NºAsuntos!I16/NºAsuntos!G16," - ")</f>
        <v>1.4649029982363315</v>
      </c>
      <c r="D16" s="499">
        <f>IF(ISNUMBER('Resol  Asuntos'!D16/NºAsuntos!G16),'Resol  Asuntos'!D16/NºAsuntos!G16," - ")</f>
        <v>0.1347442680776014</v>
      </c>
      <c r="E16" s="500">
        <f>IF(ISNUMBER((NºAsuntos!C16+NºAsuntos!E16)/NºAsuntos!G16),(NºAsuntos!C16+NºAsuntos!E16)/NºAsuntos!G16," - ")</f>
        <v>2.5368606701940037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0.92810457516339873</v>
      </c>
      <c r="C18" s="498">
        <f>IF(ISNUMBER(NºAsuntos!I18/NºAsuntos!G18),NºAsuntos!I18/NºAsuntos!G18," - ")</f>
        <v>1.0950704225352113</v>
      </c>
      <c r="D18" s="499">
        <f>IF(ISNUMBER('Resol  Asuntos'!D18/NºAsuntos!G18),'Resol  Asuntos'!D18/NºAsuntos!G18," - ")</f>
        <v>0.1795774647887324</v>
      </c>
      <c r="E18" s="500">
        <f>IF(ISNUMBER((NºAsuntos!C18+NºAsuntos!E18)/NºAsuntos!G18),(NºAsuntos!C18+NºAsuntos!E18)/NºAsuntos!G18," - ")</f>
        <v>2.0950704225352115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1.0729274165806673</v>
      </c>
      <c r="C23" s="1156">
        <f>IF(ISNUMBER(NºAsuntos!I23/NºAsuntos!G23),NºAsuntos!I23/NºAsuntos!G23," - ")</f>
        <v>1.4312279576787432</v>
      </c>
      <c r="D23" s="1159">
        <f>IF(ISNUMBER('Resol  Asuntos'!D23/NºAsuntos!G23),'Resol  Asuntos'!D23/NºAsuntos!G23," - ")</f>
        <v>0.13882654697018276</v>
      </c>
      <c r="E23" s="1158">
        <f>IF(ISNUMBER((NºAsuntos!C23+NºAsuntos!E23)/NºAsuntos!G23),(NºAsuntos!C23+NºAsuntos!E23)/NºAsuntos!G23," - ")</f>
        <v>2.4966335363898686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0.95285268758026054</v>
      </c>
      <c r="C31" s="1099">
        <f>IF(ISNUMBER(NºAsuntos!I31/NºAsuntos!G31),NºAsuntos!I31/NºAsuntos!G31," - ")</f>
        <v>1.9536003080477473</v>
      </c>
      <c r="D31" s="1100">
        <f>IF(ISNUMBER('Resol  Asuntos'!D31/NºAsuntos!G31),'Resol  Asuntos'!D31/NºAsuntos!G31," - ")</f>
        <v>0.2071621101270697</v>
      </c>
      <c r="E31" s="1101">
        <f>IF(ISNUMBER((NºAsuntos!C31+NºAsuntos!E31)/NºAsuntos!G31),(NºAsuntos!C31+NºAsuntos!E31)/NºAsuntos!G31," - ")</f>
        <v>2.9928763958413556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se1YxrhuFiIY0T/P5lVK3QEgy4/oSMqPRJMHLascZBApyxt+pfzx0fwSMVih2ENCC5wfCWxNNa+sPtn+80GyQ==" saltValue="YTmU7JI2fq9at7P8HE0R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405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319</v>
      </c>
      <c r="Y9" s="374">
        <f>SUM(W9:X9)</f>
        <v>319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6184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626</v>
      </c>
      <c r="AJ9" s="243" t="str">
        <f>IF(ISNUMBER(Datos!BW9),Datos!BW9," - ")</f>
        <v xml:space="preserve"> - </v>
      </c>
      <c r="AK9" s="242" t="str">
        <f>IF(ISNUMBER(Datos!BX9),Datos!BX9," - ")</f>
        <v xml:space="preserve"> - </v>
      </c>
      <c r="AL9" s="266">
        <f>IF(ISNUMBER(NºAsuntos!G9/NºAsuntos!E9),NºAsuntos!G9/NºAsuntos!E9," - ")</f>
        <v>0.81626145874850542</v>
      </c>
      <c r="AM9" s="284">
        <f>IF(ISNUMBER(((NºAsuntos!I9/NºAsuntos!G9)*11)/factor_trimestre),((NºAsuntos!I9/NºAsuntos!G9)*11)/factor_trimestre," - ")</f>
        <v>8.15625</v>
      </c>
      <c r="AN9" s="267">
        <f>IF(ISNUMBER('Resol  Asuntos'!D9/NºAsuntos!G9),'Resol  Asuntos'!D9/NºAsuntos!G9," - ")</f>
        <v>0.3056640625</v>
      </c>
      <c r="AO9" s="268">
        <f>IF(ISNUMBER((NºAsuntos!C9+NºAsuntos!E9)/NºAsuntos!G9),(NºAsuntos!C9+NºAsuntos!E9)/NºAsuntos!G9," - ")</f>
        <v>3.71875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107</v>
      </c>
      <c r="G10" s="373">
        <f>IF(ISNUMBER(Datos!I10),Datos!I10," - ")</f>
        <v>107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6</v>
      </c>
      <c r="Y10" s="374">
        <f t="shared" ref="Y10:Y13" si="0">SUM(W10:X10)</f>
        <v>33</v>
      </c>
      <c r="Z10" s="375" t="str">
        <f>IF(ISNUMBER(Datos!CC10),Datos!CC10," - ")</f>
        <v xml:space="preserve"> - </v>
      </c>
      <c r="AA10" s="372">
        <f>IF(ISNUMBER(Datos!L10),Datos!L10,"-")</f>
        <v>115</v>
      </c>
      <c r="AB10" s="374">
        <f>IF(ISNUMBER(Datos!R10),Datos!R10," - ")</f>
        <v>23</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0.77142857142857146</v>
      </c>
      <c r="AM10" s="284">
        <f>IF(ISNUMBER(((NºAsuntos!I10/NºAsuntos!G10)*11)/factor_trimestre),((NºAsuntos!I10/NºAsuntos!G10)*11)/factor_trimestre," - ")</f>
        <v>12.777777777777779</v>
      </c>
      <c r="AN10" s="267">
        <f>IF(ISNUMBER('Resol  Asuntos'!D10/NºAsuntos!G10),'Resol  Asuntos'!D10/NºAsuntos!G10," - ")</f>
        <v>0.62962962962962965</v>
      </c>
      <c r="AO10" s="268">
        <f>IF(ISNUMBER((NºAsuntos!C10+NºAsuntos!E10)/NºAsuntos!G10),(NºAsuntos!C10+NºAsuntos!E10)/NºAsuntos!G10," - ")</f>
        <v>5.2592592592592595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107</v>
      </c>
      <c r="G14" s="1163">
        <f t="shared" si="5"/>
        <v>107</v>
      </c>
      <c r="H14" s="1162">
        <f t="shared" si="5"/>
        <v>0</v>
      </c>
      <c r="I14" s="1164">
        <f t="shared" si="5"/>
        <v>0</v>
      </c>
      <c r="J14" s="1164">
        <f t="shared" si="5"/>
        <v>0</v>
      </c>
      <c r="K14" s="1164">
        <f t="shared" si="5"/>
        <v>0</v>
      </c>
      <c r="L14" s="1164">
        <f t="shared" si="5"/>
        <v>408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325</v>
      </c>
      <c r="Y14" s="1165">
        <f t="shared" si="6"/>
        <v>352</v>
      </c>
      <c r="Z14" s="1165">
        <f t="shared" si="6"/>
        <v>0</v>
      </c>
      <c r="AA14" s="1165">
        <f t="shared" si="6"/>
        <v>115</v>
      </c>
      <c r="AB14" s="1165">
        <f t="shared" si="6"/>
        <v>6207</v>
      </c>
      <c r="AC14" s="1165">
        <f t="shared" si="6"/>
        <v>138</v>
      </c>
      <c r="AD14" s="1165">
        <f t="shared" si="6"/>
        <v>0</v>
      </c>
      <c r="AE14" s="1169">
        <f t="shared" si="6"/>
        <v>0</v>
      </c>
      <c r="AF14" s="1162">
        <f t="shared" si="6"/>
        <v>0</v>
      </c>
      <c r="AG14" s="1170">
        <f t="shared" si="6"/>
        <v>0</v>
      </c>
      <c r="AH14" s="1167">
        <f t="shared" si="6"/>
        <v>0</v>
      </c>
      <c r="AI14" s="1162">
        <f t="shared" si="6"/>
        <v>643</v>
      </c>
      <c r="AJ14" s="1164">
        <f t="shared" si="6"/>
        <v>0</v>
      </c>
      <c r="AK14" s="1167">
        <f>SUBTOTAL(9,AK9:AK13)</f>
        <v>0</v>
      </c>
      <c r="AL14" s="1171">
        <f>IF(ISNUMBER(NºAsuntos!G14/NºAsuntos!E14),NºAsuntos!G14/NºAsuntos!E14," - ")</f>
        <v>0.81564465408805031</v>
      </c>
      <c r="AM14" s="1171">
        <f>IF(ISNUMBER(((NºAsuntos!I14/NºAsuntos!G14)*11)/factor_trimestre),((NºAsuntos!I14/NºAsuntos!G14)*11)/factor_trimestre," - ")</f>
        <v>8.2163855421686751</v>
      </c>
      <c r="AN14" s="1172">
        <f>IF(ISNUMBER('Resol  Asuntos'!D14/NºAsuntos!G14),'Resol  Asuntos'!D14/NºAsuntos!G14," - ")</f>
        <v>0.30987951807228914</v>
      </c>
      <c r="AO14" s="1173">
        <f>IF(ISNUMBER((NºAsuntos!C14+NºAsuntos!E14)/NºAsuntos!G14),(NºAsuntos!C14+NºAsuntos!E14)/NºAsuntos!G14," - ")</f>
        <v>3.7387951807228914</v>
      </c>
      <c r="AP14" s="1174" t="str">
        <f t="shared" si="2"/>
        <v xml:space="preserve"> - </v>
      </c>
      <c r="AQ14" s="1174">
        <f>IF(ISNUMBER((H14-W14+K14)/(F14)),(H14-W14+K14)/(F14)," - ")</f>
        <v>-0.25233644859813081</v>
      </c>
      <c r="AR14" s="1175">
        <f>IF(ISNUMBER((Datos!P14-Datos!Q14)/(Datos!R14-Datos!P14+Datos!Q14)),(Datos!P14-Datos!Q14)/(Datos!R14-Datos!P14+Datos!Q14)," - ")</f>
        <v>1.3553233180927498E-2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4387</v>
      </c>
      <c r="G16" s="373">
        <f>IF(ISNUMBER(IF(D_I="SI",Datos!I16,Datos!I16+Datos!AC16)),IF(D_I="SI",Datos!I16,Datos!I16+Datos!AC16)," - ")</f>
        <v>4591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2835</v>
      </c>
      <c r="X16" s="240">
        <f>IF(ISNUMBER(Datos!Q16),Datos!Q16," - ")</f>
        <v>64</v>
      </c>
      <c r="Y16" s="374">
        <f>SUM(W16)</f>
        <v>2835</v>
      </c>
      <c r="Z16" s="375" t="str">
        <f>IF(ISNUMBER(Datos!CC16),Datos!CC16," - ")</f>
        <v xml:space="preserve"> - </v>
      </c>
      <c r="AA16" s="372">
        <f>IF(ISNUMBER(IF(D_I="SI",Datos!L16,Datos!L16+Datos!AF16)),IF(D_I="SI",Datos!L16,Datos!L16+Datos!AF16)," - ")</f>
        <v>4153</v>
      </c>
      <c r="AB16" s="374">
        <f>IF(ISNUMBER(Datos!R16),Datos!R16," - ")</f>
        <v>247</v>
      </c>
      <c r="AC16" s="374">
        <f t="shared" ref="AC16:AC22" si="8">IF(ISNUMBER(AA16+AB16),AA16+AB16," - ")</f>
        <v>4400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382</v>
      </c>
      <c r="AJ16" s="245" t="str">
        <f>IF(ISNUMBER(Datos!BW16),Datos!BW16," - ")</f>
        <v xml:space="preserve"> - </v>
      </c>
      <c r="AK16" s="246" t="str">
        <f>IF(ISNUMBER(Datos!BX16),Datos!BX16," - ")</f>
        <v xml:space="preserve"> - </v>
      </c>
      <c r="AL16" s="266">
        <f>IF(ISNUMBER(NºAsuntos!G16/NºAsuntos!E16),NºAsuntos!G16/NºAsuntos!E16," - ")</f>
        <v>1.0899653979238755</v>
      </c>
      <c r="AM16" s="284">
        <f>IF(ISNUMBER(((NºAsuntos!I16/NºAsuntos!G16)*11)/factor_trimestre),((NºAsuntos!I16/NºAsuntos!G16)*11)/factor_trimestre," - ")</f>
        <v>4.3947089947089948</v>
      </c>
      <c r="AN16" s="267">
        <f>IF(ISNUMBER('Resol  Asuntos'!D16/NºAsuntos!G16),'Resol  Asuntos'!D16/NºAsuntos!G16," - ")</f>
        <v>0.1347442680776014</v>
      </c>
      <c r="AO16" s="268">
        <f>IF(ISNUMBER((NºAsuntos!C16+NºAsuntos!E16)/NºAsuntos!G16),(NºAsuntos!C16+NºAsuntos!E16)/NºAsuntos!G16," - ")</f>
        <v>2.5368606701940037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289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284</v>
      </c>
      <c r="X18" s="240">
        <f>IF(ISNUMBER(Datos!Q18),Datos!Q18," - ")</f>
        <v>0</v>
      </c>
      <c r="Y18" s="374">
        <f t="shared" si="9"/>
        <v>284</v>
      </c>
      <c r="Z18" s="375" t="str">
        <f>IF(ISNUMBER(Datos!CC18),Datos!CC18," - ")</f>
        <v xml:space="preserve"> - </v>
      </c>
      <c r="AA18" s="372">
        <f>IF(ISNUMBER(Datos!L18),Datos!L18,"-")</f>
        <v>311</v>
      </c>
      <c r="AB18" s="374">
        <f>IF(ISNUMBER(Datos!R18),Datos!R18," - ")</f>
        <v>7</v>
      </c>
      <c r="AC18" s="374">
        <f t="shared" si="8"/>
        <v>318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0.92810457516339873</v>
      </c>
      <c r="AM18" s="284">
        <f>IF(ISNUMBER(((NºAsuntos!I18/NºAsuntos!G18)*11)/factor_trimestre),((NºAsuntos!I18/NºAsuntos!G18)*11)/factor_trimestre," - ")</f>
        <v>3.285211267605634</v>
      </c>
      <c r="AN18" s="267">
        <f>IF(ISNUMBER('Resol  Asuntos'!D18/NºAsuntos!G18),'Resol  Asuntos'!D18/NºAsuntos!G18," - ")</f>
        <v>0.1795774647887324</v>
      </c>
      <c r="AO18" s="268">
        <f>IF(ISNUMBER((NºAsuntos!C18+NºAsuntos!E18)/NºAsuntos!G18),(NºAsuntos!C18+NºAsuntos!E18)/NºAsuntos!G18," - ")</f>
        <v>2.0950704225352115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4387</v>
      </c>
      <c r="G23" s="1163">
        <f>SUBTOTAL(9,G16:G22)</f>
        <v>4880</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3119</v>
      </c>
      <c r="X23" s="1164">
        <f t="shared" si="14"/>
        <v>64</v>
      </c>
      <c r="Y23" s="1165">
        <f t="shared" si="14"/>
        <v>3119</v>
      </c>
      <c r="Z23" s="1165">
        <f t="shared" si="14"/>
        <v>0</v>
      </c>
      <c r="AA23" s="1165">
        <f t="shared" si="14"/>
        <v>4464</v>
      </c>
      <c r="AB23" s="1165">
        <f t="shared" si="14"/>
        <v>254</v>
      </c>
      <c r="AC23" s="1165">
        <f t="shared" si="14"/>
        <v>4718</v>
      </c>
      <c r="AD23" s="1165">
        <f t="shared" si="14"/>
        <v>0</v>
      </c>
      <c r="AE23" s="1169">
        <f t="shared" si="14"/>
        <v>0</v>
      </c>
      <c r="AF23" s="1162">
        <f t="shared" si="14"/>
        <v>0</v>
      </c>
      <c r="AG23" s="1170">
        <f t="shared" si="14"/>
        <v>0</v>
      </c>
      <c r="AH23" s="1167">
        <f t="shared" si="14"/>
        <v>0</v>
      </c>
      <c r="AI23" s="1162">
        <f t="shared" si="14"/>
        <v>433</v>
      </c>
      <c r="AJ23" s="1164">
        <f t="shared" si="14"/>
        <v>0</v>
      </c>
      <c r="AK23" s="1167">
        <f t="shared" si="14"/>
        <v>0</v>
      </c>
      <c r="AL23" s="1171">
        <f>IF(ISNUMBER(NºAsuntos!G23/NºAsuntos!E23),NºAsuntos!G23/NºAsuntos!E23," - ")</f>
        <v>1.0729274165806673</v>
      </c>
      <c r="AM23" s="1171">
        <f>IF(ISNUMBER(((NºAsuntos!I23/NºAsuntos!G23)*11)/factor_trimestre),((NºAsuntos!I23/NºAsuntos!G23)*11)/factor_trimestre," - ")</f>
        <v>4.2936838730362297</v>
      </c>
      <c r="AN23" s="1172">
        <f>IF(ISNUMBER('Resol  Asuntos'!D23/NºAsuntos!G23),'Resol  Asuntos'!D23/NºAsuntos!G23," - ")</f>
        <v>0.13882654697018276</v>
      </c>
      <c r="AO23" s="1173">
        <f>IF(ISNUMBER((NºAsuntos!C23+NºAsuntos!E23)/NºAsuntos!G23),(NºAsuntos!C23+NºAsuntos!E23)/NºAsuntos!G23," - ")</f>
        <v>2.4966335363898686</v>
      </c>
      <c r="AP23" s="1174" t="str">
        <f t="shared" si="2"/>
        <v xml:space="preserve"> - </v>
      </c>
      <c r="AQ23" s="1174">
        <f>IF(ISNUMBER((H23-W23+K23)/(F23)),(H23-W23+K23)/(F23)," - ")</f>
        <v>-0.71096421244586283</v>
      </c>
      <c r="AR23" s="1175">
        <f>IF(ISNUMBER((Datos!P23-Datos!Q23)/(Datos!R23-Datos!P23+Datos!Q23)),(Datos!P23-Datos!Q23)/(Datos!R23-Datos!P23+Datos!Q23)," - ")</f>
        <v>-7.2992700729927001E-2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4494</v>
      </c>
      <c r="G31" s="1118">
        <f t="shared" si="20"/>
        <v>4987</v>
      </c>
      <c r="H31" s="1117">
        <f t="shared" si="20"/>
        <v>0</v>
      </c>
      <c r="I31" s="1119">
        <f t="shared" si="20"/>
        <v>0</v>
      </c>
      <c r="J31" s="1119">
        <f t="shared" si="20"/>
        <v>0</v>
      </c>
      <c r="K31" s="1180">
        <f t="shared" si="20"/>
        <v>0</v>
      </c>
      <c r="L31" s="1119">
        <f t="shared" si="20"/>
        <v>452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3146</v>
      </c>
      <c r="X31" s="1118">
        <f t="shared" si="21"/>
        <v>389</v>
      </c>
      <c r="Y31" s="1125">
        <f t="shared" si="21"/>
        <v>3471</v>
      </c>
      <c r="Z31" s="1125">
        <f t="shared" si="21"/>
        <v>0</v>
      </c>
      <c r="AA31" s="1125">
        <f t="shared" si="21"/>
        <v>4579</v>
      </c>
      <c r="AB31" s="1125">
        <f t="shared" si="21"/>
        <v>6461</v>
      </c>
      <c r="AC31" s="1125">
        <f t="shared" si="21"/>
        <v>4856</v>
      </c>
      <c r="AD31" s="1125">
        <f t="shared" si="21"/>
        <v>0</v>
      </c>
      <c r="AE31" s="1127">
        <f t="shared" si="21"/>
        <v>0</v>
      </c>
      <c r="AF31" s="1128">
        <f t="shared" si="21"/>
        <v>0</v>
      </c>
      <c r="AG31" s="1129">
        <f t="shared" si="21"/>
        <v>0</v>
      </c>
      <c r="AH31" s="1127">
        <f t="shared" si="21"/>
        <v>0</v>
      </c>
      <c r="AI31" s="1117">
        <f t="shared" si="21"/>
        <v>1076</v>
      </c>
      <c r="AJ31" s="1117">
        <f t="shared" si="21"/>
        <v>0</v>
      </c>
      <c r="AK31" s="1127">
        <f t="shared" si="21"/>
        <v>0</v>
      </c>
      <c r="AL31" s="1183">
        <f>IF(ISNUMBER(NºAsuntos!G31/NºAsuntos!E31),NºAsuntos!G31/NºAsuntos!E31," - ")</f>
        <v>0.95285268758026054</v>
      </c>
      <c r="AM31" s="1184">
        <f>IF(ISNUMBER(((NºAsuntos!I31/NºAsuntos!G31)*11)/factor_trimestre),((NºAsuntos!I31/NºAsuntos!G31)*11)/factor_trimestre," - ")</f>
        <v>5.8608009241432422</v>
      </c>
      <c r="AN31" s="1184">
        <f>IF(ISNUMBER('Resol  Asuntos'!D31/NºAsuntos!G31),'Resol  Asuntos'!D31/NºAsuntos!G31," - ")</f>
        <v>0.2071621101270697</v>
      </c>
      <c r="AO31" s="1185">
        <f>IF(ISNUMBER((NºAsuntos!C31+NºAsuntos!E31)/NºAsuntos!G31),(NºAsuntos!C31+NºAsuntos!E31)/NºAsuntos!G31," - ")</f>
        <v>2.9928763958413556</v>
      </c>
      <c r="AP31" s="1186" t="str">
        <f t="shared" si="2"/>
        <v xml:space="preserve"> - </v>
      </c>
      <c r="AQ31" s="1187">
        <f>IF(OR(ISNUMBER(FIND("01",Criterios!A8,1)),ISNUMBER(FIND("02",Criterios!A8,1)),ISNUMBER(FIND("03",Criterios!A8,1)),ISNUMBER(FIND("04",Criterios!A8,1))),(I31-W31+K31)/(F31-K31),(H31-W31+K31)/(F31-K31))</f>
        <v>-0.70004450378282157</v>
      </c>
      <c r="AR31" s="1188">
        <f>IF(ISNUMBER((Datos!P31-Datos!Q31)/(Datos!R31-Datos!P31+Datos!Q31)),(Datos!P31-Datos!Q31)/(Datos!R31-Datos!P31+Datos!Q31)," - ")</f>
        <v>9.8468271334792128E-3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2238.3213352867815</v>
      </c>
      <c r="G33" s="277">
        <f>IF(ISNUMBER(STDEV(G8:G30)),STDEV(G8:G30),"-")</f>
        <v>2265.1922235262527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1425.4759940187732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283.53382262338397</v>
      </c>
      <c r="AJ33" s="276">
        <f t="shared" si="25"/>
        <v>0</v>
      </c>
      <c r="AK33" s="278">
        <f t="shared" si="25"/>
        <v>0</v>
      </c>
      <c r="AL33" s="273">
        <f t="shared" si="25"/>
        <v>0.13853237950006619</v>
      </c>
      <c r="AM33" s="274">
        <f t="shared" si="25"/>
        <v>3.577224525344036</v>
      </c>
      <c r="AN33" s="274">
        <f t="shared" si="25"/>
        <v>0.18700279063581662</v>
      </c>
      <c r="AO33" s="275">
        <f t="shared" si="25"/>
        <v>1.173531521313333</v>
      </c>
      <c r="AP33" s="317" t="str">
        <f t="shared" si="25"/>
        <v>-</v>
      </c>
      <c r="AQ33" s="318">
        <f t="shared" si="25"/>
        <v>0.32429880185715387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bK9dOxdSCikbJD0t9QGt4KG8yd/gmbfVsug54OmOqW6J5UyJaT4+/ZJ7Y3nAIHqfF/GXkVS7iJuByORMV4sUQ==" saltValue="l6ql7aje38aZuDJRxILC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0.41950113378684806</v>
      </c>
      <c r="I9" s="395">
        <f>IF(ISNUMBER((Tasas!C9-Datos!BE9)/Datos!BE9),(Tasas!C9-Datos!BE9)/Datos!BE9," - ")</f>
        <v>0.13021118097320936</v>
      </c>
      <c r="J9" s="394">
        <f>IF(ISNUMBER((Tasas!D9-Datos!BF9)/Datos!BF9),(Tasas!D9-Datos!BF9)/Datos!BF9," - ")</f>
        <v>0.16203287760416663</v>
      </c>
      <c r="K9" s="396">
        <f>IF(ISNUMBER((Tasas!E9-Datos!BG9)/Datos!BG9),(Tasas!E9-Datos!BG9)/Datos!BG9," - ")</f>
        <v>9.2116486416892032E-2</v>
      </c>
      <c r="M9" t="e">
        <f>IF(Monitorios="SI",Datos!CE9,0)</f>
        <v>#REF!</v>
      </c>
      <c r="N9" t="e">
        <f>IF(Monitorios="SI",Datos!CF9,0)</f>
        <v>#REF!</v>
      </c>
      <c r="O9" t="e">
        <f>IF(Monitorios="SI",Datos!CG9,0)</f>
        <v>#REF!</v>
      </c>
      <c r="P9" t="e">
        <f>IF(Monitorios="SI",Datos!CH9,0)</f>
        <v>#REF!</v>
      </c>
      <c r="Q9">
        <f>IF(J_V="SI",0,Datos!AG9)</f>
        <v>280</v>
      </c>
      <c r="R9">
        <f>IF(J_V="SI",0,Datos!AH9)</f>
        <v>134</v>
      </c>
      <c r="S9">
        <f>IF(J_V="SI",0,Datos!AI9)</f>
        <v>186</v>
      </c>
      <c r="T9">
        <f>IF(J_V="SI",0,Datos!AJ9)</f>
        <v>228</v>
      </c>
    </row>
    <row r="10" spans="2:20" ht="14.25">
      <c r="B10" s="300" t="s">
        <v>321</v>
      </c>
      <c r="C10" s="7" t="str">
        <f>Datos!A10</f>
        <v>Jdos. Violencia contra la mujer</v>
      </c>
      <c r="D10" s="397">
        <f>IF(ISNUMBER((Datos!I10-Datos!S10)/Datos!S10),(Datos!I10-Datos!S10)/Datos!S10," - ")</f>
        <v>0.55072463768115942</v>
      </c>
      <c r="E10" s="393">
        <f>IF(ISNUMBER((Datos!J10-Datos!T10)/Datos!T10),(Datos!J10-Datos!T10)/Datos!T10," - ")</f>
        <v>0.25</v>
      </c>
      <c r="F10" s="393">
        <f>IF(ISNUMBER((Datos!K10-Datos!U10)/Datos!U10),(Datos!K10-Datos!U10)/Datos!U10," - ")</f>
        <v>0.22727272727272727</v>
      </c>
      <c r="G10" s="394">
        <f>IF(ISNUMBER((Datos!L10-Datos!V10)/Datos!V10),(Datos!L10-Datos!V10)/Datos!V10," - ")</f>
        <v>0.53333333333333333</v>
      </c>
      <c r="H10" s="244">
        <f>IF(ISNUMBER((Datos!M10-Datos!W10)/Datos!W10),(Datos!M10-Datos!W10)/Datos!W10," - ")</f>
        <v>0.7</v>
      </c>
      <c r="I10" s="395">
        <f>IF(ISNUMBER((Tasas!C10-Datos!BE10)/Datos!BE10),(Tasas!C10-Datos!BE10)/Datos!BE10," - ")</f>
        <v>0.24938271604938275</v>
      </c>
      <c r="J10" s="394">
        <f>IF(ISNUMBER((Tasas!D10-Datos!BF10)/Datos!BF10),(Tasas!D10-Datos!BF10)/Datos!BF10," - ")</f>
        <v>0.3851851851851853</v>
      </c>
      <c r="K10" s="396">
        <f>IF(ISNUMBER((Tasas!E10-Datos!BG10)/Datos!BG10),(Tasas!E10-Datos!BG10)/Datos!BG10," - ")</f>
        <v>0.19282168766704852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0.42572062084257206</v>
      </c>
      <c r="I14" s="402">
        <f>IF(ISNUMBER((Tasas!C14-Datos!BE14)/Datos!BE14),(Tasas!C14-Datos!BE14)/Datos!BE14," - ")</f>
        <v>0.13402468558159272</v>
      </c>
      <c r="J14" s="400">
        <f>IF(ISNUMBER((Tasas!D14-Datos!BF14)/Datos!BF14),(Tasas!D14-Datos!BF14)/Datos!BF14," - ")</f>
        <v>0.16992218052538008</v>
      </c>
      <c r="K14" s="403">
        <f>IF(ISNUMBER((Tasas!E14-Datos!BG14)/Datos!BG14),(Tasas!E14-Datos!BG14)/Datos!BG14," - ")</f>
        <v>9.491929059064326E-2</v>
      </c>
      <c r="M14" t="e">
        <f>IF(Monitorios="SI",Datos!CE14,0)</f>
        <v>#REF!</v>
      </c>
      <c r="N14" t="e">
        <f>IF(Monitorios="SI",Datos!CF14,0)</f>
        <v>#REF!</v>
      </c>
      <c r="O14" t="e">
        <f>IF(Monitorios="SI",Datos!CG14,0)</f>
        <v>#REF!</v>
      </c>
      <c r="P14" t="e">
        <f>IF(Monitorios="SI",Datos!CH14,0)</f>
        <v>#REF!</v>
      </c>
      <c r="Q14">
        <f>IF(J_V="SI",0,Datos!AG14)</f>
        <v>280</v>
      </c>
      <c r="R14">
        <f>IF(J_V="SI",0,Datos!AH14)</f>
        <v>134</v>
      </c>
      <c r="S14">
        <f>IF(J_V="SI",0,Datos!AI14)</f>
        <v>186</v>
      </c>
      <c r="T14">
        <f>IF(J_V="SI",0,Datos!AJ14)</f>
        <v>228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-0.11779400461183705</v>
      </c>
      <c r="E16" s="393">
        <f>IF(ISNUMBER(
   IF(D_I="SI",(Datos!J16-Datos!T16)/Datos!T16,(Datos!J16+Datos!AD16-(Datos!T16+Datos!AL16))/(Datos!T16+Datos!AL16))
     ),IF(D_I="SI",(Datos!J16-Datos!T16)/Datos!T16,(Datos!J16+Datos!AD16-(Datos!T16+Datos!AL16))/(Datos!T16+Datos!AL16))," - ")</f>
        <v>0.28507905138339923</v>
      </c>
      <c r="F16" s="393">
        <f>IF(ISNUMBER(
   IF(D_I="SI",(Datos!K16-Datos!U16)/Datos!U16,(Datos!K16+Datos!AE16-(Datos!U16+Datos!AM16))/(Datos!U16+Datos!AM16))
     ),IF(D_I="SI",(Datos!K16-Datos!U16)/Datos!U16,(Datos!K16+Datos!AE16-(Datos!U16+Datos!AM16))/(Datos!U16+Datos!AM16))," - ")</f>
        <v>0.23207301173402869</v>
      </c>
      <c r="G16" s="394">
        <f>IF(ISNUMBER(
   IF(D_I="SI",(Datos!L16-Datos!V16)/Datos!V16,(Datos!L16+Datos!AF16-(Datos!V16+Datos!AN16))/(Datos!V16+Datos!AN16))
     ),IF(D_I="SI",(Datos!L16-Datos!V16)/Datos!V16,(Datos!L16+Datos!AF16-(Datos!V16+Datos!AN16))/(Datos!V16+Datos!AN16))," - ")</f>
        <v>-0.17188434695912264</v>
      </c>
      <c r="H16" s="244">
        <f>IF(ISNUMBER((Datos!M16-Datos!W16)/Datos!W16),(Datos!M16-Datos!W16)/Datos!W16," - ")</f>
        <v>-1.2919896640826873E-2</v>
      </c>
      <c r="I16" s="395">
        <f>IF(ISNUMBER((Tasas!C16-Datos!BE16)/Datos!BE16),(Tasas!C16-Datos!BE16)/Datos!BE16," - ")</f>
        <v>-0.32786803610333021</v>
      </c>
      <c r="J16" s="394">
        <f>IF(ISNUMBER((Tasas!D16-Datos!BF16)/Datos!BF16),(Tasas!D16-Datos!BF16)/Datos!BF16," - ")</f>
        <v>-0.1988460960037188</v>
      </c>
      <c r="K16" s="396">
        <f>IF(ISNUMBER((Tasas!E16-Datos!BG16)/Datos!BG16),(Tasas!E16-Datos!BG16)/Datos!BG16," - ")</f>
        <v>-0.19240226866126137</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-0.13213213213213212</v>
      </c>
      <c r="E18" s="393">
        <f>IF(ISNUMBER(
   IF(D_I="SI",(Datos!J18-Datos!T18)/Datos!T18,(Datos!J18+Datos!AD18-(Datos!T18+Datos!AL18))/(Datos!T18+Datos!AL18))
     ),IF(D_I="SI",(Datos!J18-Datos!T18)/Datos!T18,(Datos!J18+Datos!AD18-(Datos!T18+Datos!AL18))/(Datos!T18+Datos!AL18))," - ")</f>
        <v>-0.11815561959654179</v>
      </c>
      <c r="F18" s="393">
        <f>IF(ISNUMBER(
   IF(D_I="SI",(Datos!K18-Datos!U18)/Datos!U18,(Datos!K18+Datos!AE18-(Datos!U18+Datos!AM18))/(Datos!U18+Datos!AM18))
     ),IF(D_I="SI",(Datos!K18-Datos!U18)/Datos!U18,(Datos!K18+Datos!AE18-(Datos!U18+Datos!AM18))/(Datos!U18+Datos!AM18))," - ")</f>
        <v>-0.24668435013262599</v>
      </c>
      <c r="G18" s="394">
        <f>IF(ISNUMBER(
   IF(D_I="SI",(Datos!L18-Datos!V18)/Datos!V18,(Datos!L18+Datos!AF18-(Datos!V18+Datos!AN18))/(Datos!V18+Datos!AN18))
     ),IF(D_I="SI",(Datos!L18-Datos!V18)/Datos!V18,(Datos!L18+Datos!AF18-(Datos!V18+Datos!AN18))/(Datos!V18+Datos!AN18))," - ")</f>
        <v>2.3026315789473683E-2</v>
      </c>
      <c r="H18" s="244">
        <f>IF(ISNUMBER((Datos!M18-Datos!W18)/Datos!W18),(Datos!M18-Datos!W18)/Datos!W18," - ")</f>
        <v>-5.5555555555555552E-2</v>
      </c>
      <c r="I18" s="395">
        <f>IF(ISNUMBER((Tasas!C18-Datos!BE18)/Datos!BE18),(Tasas!C18-Datos!BE18)/Datos!BE18," - ")</f>
        <v>0.35803141215715334</v>
      </c>
      <c r="J18" s="394">
        <f>IF(ISNUMBER((Tasas!D18-Datos!BF18)/Datos!BF18),(Tasas!D18-Datos!BF18)/Datos!BF18," - ")</f>
        <v>0.25371674491392798</v>
      </c>
      <c r="K18" s="396">
        <f>IF(ISNUMBER((Tasas!E18-Datos!BG18)/Datos!BG18),(Tasas!E18-Datos!BG18)/Datos!BG18," - ")</f>
        <v>0.16153169014084517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-0.11865631208235507</v>
      </c>
      <c r="E23" s="399">
        <f>IF(ISNUMBER(
   IF(D_I="SI",(Datos!J23-Datos!T23)/Datos!T23,(Datos!J23+Datos!AD23-(Datos!T23+Datos!AL23))/(Datos!T23+Datos!AL23))
     ),IF(D_I="SI",(Datos!J23-Datos!T23)/Datos!T23,(Datos!J23+Datos!AD23-(Datos!T23+Datos!AL23))/(Datos!T23+Datos!AL23))," - ")</f>
        <v>0.22606495149725855</v>
      </c>
      <c r="F23" s="399">
        <f>IF(ISNUMBER(
   IF(D_I="SI",(Datos!K23-Datos!U23)/Datos!U23,(Datos!K23+Datos!AE23-(Datos!U23+Datos!AM23))/(Datos!U23+Datos!AM23))
     ),IF(D_I="SI",(Datos!K23-Datos!U23)/Datos!U23,(Datos!K23+Datos!AE23-(Datos!U23+Datos!AM23))/(Datos!U23+Datos!AM23))," - ")</f>
        <v>0.16467513069454817</v>
      </c>
      <c r="G23" s="400">
        <f>IF(ISNUMBER(
   IF(D_I="SI",(Datos!L23-Datos!V23)/Datos!V23,(Datos!L23+Datos!AF23-(Datos!V23+Datos!AN23))/(Datos!V23+Datos!AN23))
     ),IF(D_I="SI",(Datos!L23-Datos!V23)/Datos!V23,(Datos!L23+Datos!AF23-(Datos!V23+Datos!AN23))/(Datos!V23+Datos!AN23))," - ")</f>
        <v>-0.16074450084602368</v>
      </c>
      <c r="H23" s="401">
        <f>IF(ISNUMBER((Datos!M23-Datos!W23)/Datos!W23),(Datos!M23-Datos!W23)/Datos!W23," - ")</f>
        <v>-1.8140589569160998E-2</v>
      </c>
      <c r="I23" s="402">
        <f>IF(ISNUMBER((Tasas!C23-Datos!BE23)/Datos!BE23),(Tasas!C23-Datos!BE23)/Datos!BE23," - ")</f>
        <v>-0.27940807094121556</v>
      </c>
      <c r="J23" s="400">
        <f>IF(ISNUMBER((Tasas!D23-Datos!BF23)/Datos!BF23),(Tasas!D23-Datos!BF23)/Datos!BF23," - ")</f>
        <v>-0.15696713653934369</v>
      </c>
      <c r="K23" s="403">
        <f>IF(ISNUMBER((Tasas!E23-Datos!BG23)/Datos!BG23),(Tasas!E23-Datos!BG23)/Datos!BG23," - ")</f>
        <v>-0.15452900727717905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-0.11510476023494345</v>
      </c>
      <c r="E31" s="409">
        <f>IF(ISNUMBER(
   IF(J_V="SI",(Datos!J31-Datos!T31)/Datos!T31,(Datos!J31+Datos!Z31-(Datos!T31+Datos!AH31))/(Datos!T31+Datos!AH31))
     ),IF(J_V="SI",(Datos!J31-Datos!T31)/Datos!T31,(Datos!J31+Datos!Z31-(Datos!T31+Datos!AH31))/(Datos!T31+Datos!AH31))," - ")</f>
        <v>0.24879725085910653</v>
      </c>
      <c r="F31" s="409">
        <f>IF(ISNUMBER(
   IF(J_V="SI",(Datos!K31-Datos!U31)/Datos!U31,(Datos!K31+Datos!AA31-(Datos!U31+Datos!AI31))/(Datos!U31+Datos!AI31))
     ),IF(J_V="SI",(Datos!K31-Datos!U31)/Datos!U31,(Datos!K31+Datos!AA31-(Datos!U31+Datos!AI31))/(Datos!U31+Datos!AI31))," - ")</f>
        <v>4.2762497490463763E-2</v>
      </c>
      <c r="G31" s="410">
        <f>IF(ISNUMBER(
   IF(J_V="SI",(Datos!L31-Datos!V31)/Datos!V31,(Datos!L31+Datos!AB31-(Datos!V31+Datos!AJ31))/(Datos!V31+Datos!AJ31))
     ),IF(J_V="SI",(Datos!L31-Datos!V31)/Datos!V31,(Datos!L31+Datos!AB31-(Datos!V31+Datos!AJ31))/(Datos!V31+Datos!AJ31))," - ")</f>
        <v>-6.7457035198970686E-2</v>
      </c>
      <c r="H31" s="411">
        <f>IF(ISNUMBER((Datos!M31-Datos!W31)/Datos!W31),(Datos!M31-Datos!W31)/Datos!W31," - ")</f>
        <v>0.20627802690582961</v>
      </c>
      <c r="I31" s="408">
        <f>IF(ISNUMBER((Tasas!C31-Datos!BE31)/Datos!BE31),(Tasas!C31-Datos!BE31)/Datos!BE31," - ")</f>
        <v>-0.10569955570390327</v>
      </c>
      <c r="J31" s="409">
        <f>IF(ISNUMBER((Tasas!D31-Datos!BF31)/Datos!BF31),(Tasas!D31-Datos!BF31)/Datos!BF31," - ")</f>
        <v>-1.8197459045733479E-2</v>
      </c>
      <c r="K31" s="410">
        <f>IF(ISNUMBER((Tasas!E31-Datos!BG31)/Datos!BG31),(Tasas!E31-Datos!BG31)/Datos!BG31," - ")</f>
        <v>-5.4811227004451429E-2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0.33685671066993189</v>
      </c>
      <c r="E33" s="303">
        <f t="shared" si="1"/>
        <v>0.18750792251331591</v>
      </c>
      <c r="F33" s="303">
        <f t="shared" si="1"/>
        <v>0.229409481318782</v>
      </c>
      <c r="G33" s="304">
        <f t="shared" si="1"/>
        <v>0.33057717761541539</v>
      </c>
      <c r="H33" s="310">
        <f t="shared" si="1"/>
        <v>0.3150280099074978</v>
      </c>
      <c r="I33" s="302">
        <f t="shared" si="1"/>
        <v>0.28256439724023713</v>
      </c>
      <c r="J33" s="303">
        <f t="shared" si="1"/>
        <v>0.23194826837451996</v>
      </c>
      <c r="K33" s="304">
        <f t="shared" si="1"/>
        <v>0.16453774333998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8NgQXrODFFGccYUUeoHUPdqgvQvepOpHnSaqDZa1S8EiTq/wI9nqwHSr4UGMSahRsW2ffjoUrMA9F6t/H/H5g==" saltValue="zAy3YcCGb+yfAmbW9zQA5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